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ocuments\1 - EXERCÍCIO 2023\PREGÃO RECOLHIMENTO DE LIXO\Nova pasta\"/>
    </mc:Choice>
  </mc:AlternateContent>
  <xr:revisionPtr revIDLastSave="0" documentId="8_{E86C60D1-4712-4BB0-AA6D-A98A14139294}" xr6:coauthVersionLast="46" xr6:coauthVersionMax="46" xr10:uidLastSave="{00000000-0000-0000-0000-000000000000}"/>
  <bookViews>
    <workbookView xWindow="-120" yWindow="-120" windowWidth="21840" windowHeight="13140" tabRatio="802" xr2:uid="{00000000-000D-0000-FFFF-FFFF00000000}"/>
  </bookViews>
  <sheets>
    <sheet name="1. Coleta lixo umido" sheetId="2" r:id="rId1"/>
    <sheet name="2.Encargos Sociais" sheetId="8" r:id="rId2"/>
    <sheet name="3.CAGED" sheetId="5" r:id="rId3"/>
    <sheet name="4.BDI" sheetId="4" r:id="rId4"/>
    <sheet name="5. Depreciação" sheetId="6" r:id="rId5"/>
    <sheet name="6.Remuneração de capital" sheetId="7" r:id="rId6"/>
    <sheet name="7. Dimensionamento" sheetId="9" r:id="rId7"/>
  </sheets>
  <definedNames>
    <definedName name="AbaDeprec">'5. Depreciação'!$A$1</definedName>
    <definedName name="AbaRemun">'6.Remuneração de capital'!$A$1</definedName>
    <definedName name="_xlnm.Print_Area" localSheetId="0">'1. Coleta lixo umido'!$A$1:$F$570</definedName>
    <definedName name="_xlnm.Print_Area" localSheetId="1">'2.Encargos Sociais'!$A$1:$C$36</definedName>
    <definedName name="_xlnm.Print_Titles" localSheetId="0">'1. Coleta lixo umido'!$1:$6</definedName>
  </definedNames>
  <calcPr calcId="191029"/>
</workbook>
</file>

<file path=xl/calcChain.xml><?xml version="1.0" encoding="utf-8"?>
<calcChain xmlns="http://schemas.openxmlformats.org/spreadsheetml/2006/main">
  <c r="B312" i="2" l="1"/>
  <c r="D219" i="2" l="1"/>
  <c r="D111" i="2"/>
  <c r="C321" i="2" l="1"/>
  <c r="C218" i="2"/>
  <c r="D558" i="2" l="1"/>
  <c r="D288" i="2" l="1"/>
  <c r="D293" i="2"/>
  <c r="E34" i="2" l="1"/>
  <c r="E35" i="2"/>
  <c r="E36" i="2"/>
  <c r="E37" i="2"/>
  <c r="E39" i="2"/>
  <c r="E40" i="2"/>
  <c r="A41" i="2"/>
  <c r="E344" i="2"/>
  <c r="F345" i="2" s="1"/>
  <c r="E41" i="2" s="1"/>
  <c r="E38" i="2" l="1"/>
  <c r="A50" i="2"/>
  <c r="E526" i="2"/>
  <c r="A47" i="2" l="1"/>
  <c r="A46" i="2"/>
  <c r="A45" i="2"/>
  <c r="A44" i="2"/>
  <c r="A43" i="2"/>
  <c r="A42" i="2"/>
  <c r="E535" i="2" l="1"/>
  <c r="E536" i="2" s="1"/>
  <c r="F537" i="2" s="1"/>
  <c r="E537" i="2"/>
  <c r="E528" i="2"/>
  <c r="E525" i="2"/>
  <c r="E524" i="2"/>
  <c r="C433" i="2"/>
  <c r="D527" i="2" l="1"/>
  <c r="F528" i="2" s="1"/>
  <c r="F530" i="2" s="1"/>
  <c r="E50" i="2" s="1"/>
  <c r="D536" i="2"/>
  <c r="E70" i="2"/>
  <c r="E69" i="2"/>
  <c r="A70" i="2"/>
  <c r="A69" i="2"/>
  <c r="A40" i="2"/>
  <c r="A39" i="2"/>
  <c r="A38" i="2"/>
  <c r="A37" i="2"/>
  <c r="A36" i="2"/>
  <c r="A35" i="2"/>
  <c r="A34" i="2"/>
  <c r="C359" i="2"/>
  <c r="C354" i="2"/>
  <c r="C492" i="2"/>
  <c r="C490" i="2"/>
  <c r="E490" i="2" s="1"/>
  <c r="E488" i="2"/>
  <c r="D477" i="2"/>
  <c r="D475" i="2"/>
  <c r="D473" i="2"/>
  <c r="D471" i="2"/>
  <c r="D469" i="2"/>
  <c r="C469" i="2"/>
  <c r="E483" i="2" s="1"/>
  <c r="F484" i="2" s="1"/>
  <c r="E46" i="2" s="1"/>
  <c r="E459" i="2"/>
  <c r="E458" i="2"/>
  <c r="C447" i="2"/>
  <c r="D446" i="2"/>
  <c r="D441" i="2"/>
  <c r="E441" i="2" s="1"/>
  <c r="C434" i="2"/>
  <c r="C446" i="2"/>
  <c r="C429" i="2"/>
  <c r="E425" i="2"/>
  <c r="C418" i="2"/>
  <c r="C416" i="2"/>
  <c r="E416" i="2" s="1"/>
  <c r="E414" i="2"/>
  <c r="D403" i="2"/>
  <c r="D401" i="2"/>
  <c r="D399" i="2"/>
  <c r="D397" i="2"/>
  <c r="D395" i="2"/>
  <c r="C395" i="2"/>
  <c r="C409" i="2" s="1"/>
  <c r="E409" i="2" s="1"/>
  <c r="F410" i="2" s="1"/>
  <c r="E387" i="2"/>
  <c r="C385" i="2"/>
  <c r="E385" i="2" s="1"/>
  <c r="C384" i="2"/>
  <c r="E384" i="2" s="1"/>
  <c r="C383" i="2"/>
  <c r="E379" i="2"/>
  <c r="C378" i="2"/>
  <c r="C373" i="2"/>
  <c r="D372" i="2"/>
  <c r="D367" i="2"/>
  <c r="E367" i="2" s="1"/>
  <c r="E363" i="2"/>
  <c r="C360" i="2"/>
  <c r="C356" i="2"/>
  <c r="C372" i="2" s="1"/>
  <c r="E372" i="2" s="1"/>
  <c r="C355" i="2"/>
  <c r="E351" i="2"/>
  <c r="D383" i="2" s="1"/>
  <c r="A21" i="2"/>
  <c r="A20" i="2"/>
  <c r="A19" i="2"/>
  <c r="A18" i="2"/>
  <c r="E64" i="2"/>
  <c r="E221" i="2" s="1"/>
  <c r="E63" i="2"/>
  <c r="E62" i="2"/>
  <c r="E220" i="2" s="1"/>
  <c r="E61" i="2"/>
  <c r="A64" i="2"/>
  <c r="A63" i="2"/>
  <c r="A62" i="2"/>
  <c r="A61" i="2"/>
  <c r="D195" i="2"/>
  <c r="E195" i="2" s="1"/>
  <c r="D194" i="2"/>
  <c r="E194" i="2" s="1"/>
  <c r="E192" i="2"/>
  <c r="D213" i="2" s="1"/>
  <c r="D180" i="2"/>
  <c r="E180" i="2" s="1"/>
  <c r="D179" i="2"/>
  <c r="E179" i="2" s="1"/>
  <c r="E177" i="2"/>
  <c r="D165" i="2"/>
  <c r="E165" i="2" s="1"/>
  <c r="D164" i="2"/>
  <c r="E164" i="2" s="1"/>
  <c r="E162" i="2"/>
  <c r="D212" i="2" s="1"/>
  <c r="D150" i="2"/>
  <c r="E150" i="2" s="1"/>
  <c r="D149" i="2"/>
  <c r="E149" i="2" s="1"/>
  <c r="E147" i="2"/>
  <c r="E446" i="2" l="1"/>
  <c r="D417" i="2"/>
  <c r="E417" i="2" s="1"/>
  <c r="D418" i="2" s="1"/>
  <c r="E418" i="2" s="1"/>
  <c r="F419" i="2" s="1"/>
  <c r="F539" i="2"/>
  <c r="C443" i="2"/>
  <c r="D491" i="2"/>
  <c r="E491" i="2" s="1"/>
  <c r="D492" i="2" s="1"/>
  <c r="E383" i="2"/>
  <c r="D386" i="2" s="1"/>
  <c r="E386" i="2" s="1"/>
  <c r="F387" i="2" s="1"/>
  <c r="D404" i="2"/>
  <c r="D478" i="2"/>
  <c r="E492" i="2"/>
  <c r="F493" i="2" s="1"/>
  <c r="E47" i="2" s="1"/>
  <c r="E469" i="2"/>
  <c r="C473" i="2"/>
  <c r="E473" i="2" s="1"/>
  <c r="C477" i="2"/>
  <c r="E477" i="2" s="1"/>
  <c r="D428" i="2"/>
  <c r="E428" i="2" s="1"/>
  <c r="E430" i="2"/>
  <c r="C471" i="2"/>
  <c r="E471" i="2" s="1"/>
  <c r="C475" i="2"/>
  <c r="E475" i="2" s="1"/>
  <c r="E395" i="2"/>
  <c r="C399" i="2"/>
  <c r="E399" i="2" s="1"/>
  <c r="C403" i="2"/>
  <c r="E403" i="2" s="1"/>
  <c r="D354" i="2"/>
  <c r="E354" i="2" s="1"/>
  <c r="C369" i="2" s="1"/>
  <c r="E356" i="2"/>
  <c r="C397" i="2"/>
  <c r="E397" i="2" s="1"/>
  <c r="C401" i="2"/>
  <c r="E401" i="2" s="1"/>
  <c r="E213" i="2"/>
  <c r="E212" i="2"/>
  <c r="D196" i="2"/>
  <c r="E196" i="2" s="1"/>
  <c r="D198" i="2" s="1"/>
  <c r="E198" i="2" s="1"/>
  <c r="D181" i="2"/>
  <c r="E181" i="2" s="1"/>
  <c r="D183" i="2" s="1"/>
  <c r="E183" i="2" s="1"/>
  <c r="D166" i="2"/>
  <c r="E166" i="2" s="1"/>
  <c r="D168" i="2" s="1"/>
  <c r="E168" i="2" s="1"/>
  <c r="D151" i="2"/>
  <c r="E151" i="2" s="1"/>
  <c r="D153" i="2" s="1"/>
  <c r="E153" i="2" s="1"/>
  <c r="C305" i="2"/>
  <c r="C304" i="2"/>
  <c r="C306" i="2"/>
  <c r="D429" i="2" l="1"/>
  <c r="E429" i="2" s="1"/>
  <c r="C444" i="2"/>
  <c r="D445" i="2" s="1"/>
  <c r="E445" i="2" s="1"/>
  <c r="C448" i="2"/>
  <c r="D433" i="2"/>
  <c r="E433" i="2" s="1"/>
  <c r="D434" i="2" s="1"/>
  <c r="E434" i="2" s="1"/>
  <c r="F479" i="2"/>
  <c r="E45" i="2" s="1"/>
  <c r="D355" i="2"/>
  <c r="E355" i="2" s="1"/>
  <c r="C370" i="2"/>
  <c r="D371" i="2" s="1"/>
  <c r="E371" i="2" s="1"/>
  <c r="C374" i="2"/>
  <c r="D359" i="2"/>
  <c r="E359" i="2" s="1"/>
  <c r="D360" i="2" s="1"/>
  <c r="E360" i="2" s="1"/>
  <c r="F405" i="2"/>
  <c r="E199" i="2"/>
  <c r="E184" i="2"/>
  <c r="E169" i="2"/>
  <c r="E154" i="2"/>
  <c r="A51" i="2"/>
  <c r="A49" i="2"/>
  <c r="A48" i="2"/>
  <c r="A26" i="2"/>
  <c r="A25" i="2"/>
  <c r="A13" i="2"/>
  <c r="C449" i="2" l="1"/>
  <c r="D450" i="2" s="1"/>
  <c r="E450" i="2" s="1"/>
  <c r="E451" i="2" s="1"/>
  <c r="D452" i="2" s="1"/>
  <c r="E452" i="2" s="1"/>
  <c r="F453" i="2" s="1"/>
  <c r="E43" i="2" s="1"/>
  <c r="E435" i="2"/>
  <c r="D436" i="2" s="1"/>
  <c r="E436" i="2" s="1"/>
  <c r="F437" i="2" s="1"/>
  <c r="E42" i="2" s="1"/>
  <c r="C375" i="2"/>
  <c r="D376" i="2" s="1"/>
  <c r="E376" i="2" s="1"/>
  <c r="E377" i="2" s="1"/>
  <c r="D378" i="2" s="1"/>
  <c r="E378" i="2" s="1"/>
  <c r="F379" i="2" s="1"/>
  <c r="E361" i="2"/>
  <c r="D362" i="2" s="1"/>
  <c r="E362" i="2" s="1"/>
  <c r="F363" i="2" s="1"/>
  <c r="D200" i="2"/>
  <c r="D185" i="2"/>
  <c r="D170" i="2"/>
  <c r="D155" i="2"/>
  <c r="C10" i="9"/>
  <c r="C11" i="9" s="1"/>
  <c r="C12" i="9" l="1"/>
  <c r="C14" i="9"/>
  <c r="C19" i="9" s="1"/>
  <c r="C21" i="9" s="1"/>
  <c r="C275" i="2"/>
  <c r="C280" i="2"/>
  <c r="E60" i="2" l="1"/>
  <c r="E59" i="2"/>
  <c r="E58" i="2"/>
  <c r="E57" i="2"/>
  <c r="E68" i="2"/>
  <c r="E71" i="2" s="1"/>
  <c r="E65" i="2" l="1"/>
  <c r="C299" i="2"/>
  <c r="D324" i="2"/>
  <c r="D322" i="2"/>
  <c r="D320" i="2"/>
  <c r="D318" i="2"/>
  <c r="D254" i="2" l="1"/>
  <c r="E254" i="2" s="1"/>
  <c r="E238" i="2"/>
  <c r="E239" i="2"/>
  <c r="E240" i="2"/>
  <c r="E241" i="2"/>
  <c r="E242" i="2"/>
  <c r="E243" i="2"/>
  <c r="E244" i="2"/>
  <c r="E245" i="2"/>
  <c r="E246" i="2"/>
  <c r="E237" i="2"/>
  <c r="D81" i="2" l="1"/>
  <c r="E81" i="2" s="1"/>
  <c r="D80" i="2"/>
  <c r="E80" i="2" s="1"/>
  <c r="D113" i="2"/>
  <c r="E113" i="2" s="1"/>
  <c r="C132" i="2"/>
  <c r="D82" i="2" l="1"/>
  <c r="E82" i="2" s="1"/>
  <c r="C135" i="2"/>
  <c r="D114" i="2"/>
  <c r="E114" i="2" s="1"/>
  <c r="D115" i="2" s="1"/>
  <c r="E115" i="2" s="1"/>
  <c r="C100" i="2"/>
  <c r="C97" i="2"/>
  <c r="C339" i="2" l="1"/>
  <c r="D127" i="2"/>
  <c r="A33" i="2"/>
  <c r="A32" i="2"/>
  <c r="A31" i="2"/>
  <c r="A30" i="2"/>
  <c r="A29" i="2"/>
  <c r="A28" i="2"/>
  <c r="A27" i="2"/>
  <c r="A24" i="2"/>
  <c r="A23" i="2"/>
  <c r="A22" i="2"/>
  <c r="A17" i="2"/>
  <c r="A16" i="2"/>
  <c r="A15" i="2"/>
  <c r="A14" i="2"/>
  <c r="C17" i="8"/>
  <c r="E517" i="2"/>
  <c r="E308" i="2"/>
  <c r="E300" i="2"/>
  <c r="E284" i="2"/>
  <c r="E262" i="2"/>
  <c r="E249" i="2"/>
  <c r="E228" i="2"/>
  <c r="E143" i="2"/>
  <c r="E122" i="2"/>
  <c r="E107" i="2"/>
  <c r="E88" i="2"/>
  <c r="C13" i="4"/>
  <c r="C18" i="4" s="1"/>
  <c r="C547" i="2" s="1"/>
  <c r="F11" i="4"/>
  <c r="E11" i="4"/>
  <c r="D11" i="4"/>
  <c r="C14" i="8"/>
  <c r="C34" i="5"/>
  <c r="C29" i="5"/>
  <c r="C28" i="8" s="1"/>
  <c r="C28" i="5"/>
  <c r="C138" i="2"/>
  <c r="C129" i="2"/>
  <c r="D126" i="2"/>
  <c r="D132" i="2" s="1"/>
  <c r="E132" i="2" s="1"/>
  <c r="E111" i="2"/>
  <c r="D211" i="2" s="1"/>
  <c r="C211" i="2"/>
  <c r="C337" i="2"/>
  <c r="E337" i="2" s="1"/>
  <c r="C316" i="2"/>
  <c r="C318" i="2" s="1"/>
  <c r="E318" i="2" s="1"/>
  <c r="D316" i="2"/>
  <c r="D325" i="2" s="1"/>
  <c r="E272" i="2"/>
  <c r="D457" i="2" s="1"/>
  <c r="E457" i="2" s="1"/>
  <c r="D460" i="2" s="1"/>
  <c r="E460" i="2" s="1"/>
  <c r="F461" i="2" s="1"/>
  <c r="E44" i="2" s="1"/>
  <c r="C281" i="2"/>
  <c r="C276" i="2"/>
  <c r="C94" i="2"/>
  <c r="D92" i="2"/>
  <c r="C513" i="2"/>
  <c r="C515" i="2" s="1"/>
  <c r="E515" i="2" s="1"/>
  <c r="D516" i="2" s="1"/>
  <c r="E516" i="2" s="1"/>
  <c r="C277" i="2"/>
  <c r="C293" i="2" s="1"/>
  <c r="C210" i="2"/>
  <c r="A57" i="2"/>
  <c r="A58" i="2"/>
  <c r="A59" i="2"/>
  <c r="A60" i="2"/>
  <c r="A68" i="2"/>
  <c r="E79" i="2"/>
  <c r="D210" i="2" s="1"/>
  <c r="C102" i="2"/>
  <c r="A218" i="2"/>
  <c r="A226" i="2" s="1"/>
  <c r="A219" i="2"/>
  <c r="A227" i="2" s="1"/>
  <c r="E247" i="2"/>
  <c r="D255" i="2"/>
  <c r="E255" i="2" s="1"/>
  <c r="D256" i="2"/>
  <c r="E256" i="2" s="1"/>
  <c r="D257" i="2"/>
  <c r="E257" i="2" s="1"/>
  <c r="D258" i="2"/>
  <c r="E258" i="2" s="1"/>
  <c r="D259" i="2"/>
  <c r="E259" i="2" s="1"/>
  <c r="E260" i="2"/>
  <c r="E335" i="2"/>
  <c r="E306" i="2"/>
  <c r="E305" i="2"/>
  <c r="E501" i="2"/>
  <c r="E504" i="2"/>
  <c r="E505" i="2"/>
  <c r="E502" i="2"/>
  <c r="E503" i="2"/>
  <c r="D117" i="2" l="1"/>
  <c r="E117" i="2" s="1"/>
  <c r="E118" i="2" s="1"/>
  <c r="D275" i="2"/>
  <c r="D304" i="2"/>
  <c r="C27" i="8"/>
  <c r="G28" i="5"/>
  <c r="C39" i="5"/>
  <c r="E37" i="5"/>
  <c r="D37" i="5" s="1"/>
  <c r="D38" i="5" s="1"/>
  <c r="C38" i="5" s="1"/>
  <c r="C24" i="8" s="1"/>
  <c r="C32" i="8" s="1"/>
  <c r="D100" i="2"/>
  <c r="E100" i="2" s="1"/>
  <c r="D95" i="2"/>
  <c r="E95" i="2" s="1"/>
  <c r="E126" i="2"/>
  <c r="D130" i="2"/>
  <c r="E130" i="2" s="1"/>
  <c r="D133" i="2"/>
  <c r="E133" i="2" s="1"/>
  <c r="D135" i="2"/>
  <c r="E135" i="2" s="1"/>
  <c r="D129" i="2"/>
  <c r="E129" i="2" s="1"/>
  <c r="D98" i="2"/>
  <c r="E98" i="2" s="1"/>
  <c r="D97" i="2"/>
  <c r="E97" i="2" s="1"/>
  <c r="D94" i="2"/>
  <c r="E94" i="2" s="1"/>
  <c r="C324" i="2"/>
  <c r="E324" i="2" s="1"/>
  <c r="F506" i="2"/>
  <c r="F508" i="2" s="1"/>
  <c r="E48" i="2" s="1"/>
  <c r="E219" i="2"/>
  <c r="E316" i="2"/>
  <c r="E92" i="2"/>
  <c r="E277" i="2"/>
  <c r="C295" i="2" s="1"/>
  <c r="D248" i="2"/>
  <c r="E218" i="2"/>
  <c r="C248" i="2"/>
  <c r="C226" i="2"/>
  <c r="E226" i="2" s="1"/>
  <c r="E210" i="2"/>
  <c r="E293" i="2"/>
  <c r="C227" i="2"/>
  <c r="E227" i="2" s="1"/>
  <c r="D83" i="2"/>
  <c r="E83" i="2" s="1"/>
  <c r="E84" i="2" s="1"/>
  <c r="D85" i="2" s="1"/>
  <c r="C261" i="2"/>
  <c r="C320" i="2"/>
  <c r="C330" i="2"/>
  <c r="E330" i="2" s="1"/>
  <c r="F331" i="2" s="1"/>
  <c r="E32" i="2" s="1"/>
  <c r="E513" i="2"/>
  <c r="D514" i="2" s="1"/>
  <c r="E514" i="2" s="1"/>
  <c r="F517" i="2" s="1"/>
  <c r="F519" i="2" s="1"/>
  <c r="E49" i="2" s="1"/>
  <c r="E288" i="2"/>
  <c r="D338" i="2"/>
  <c r="E338" i="2" s="1"/>
  <c r="D339" i="2" s="1"/>
  <c r="E339" i="2" s="1"/>
  <c r="F340" i="2" s="1"/>
  <c r="E33" i="2" s="1"/>
  <c r="E211" i="2"/>
  <c r="E275" i="2"/>
  <c r="D261" i="2"/>
  <c r="E320" i="2" l="1"/>
  <c r="C322" i="2"/>
  <c r="E322" i="2" s="1"/>
  <c r="F326" i="2" s="1"/>
  <c r="E31" i="2" s="1"/>
  <c r="F222" i="2"/>
  <c r="E23" i="2" s="1"/>
  <c r="F214" i="2"/>
  <c r="E22" i="2" s="1"/>
  <c r="D276" i="2"/>
  <c r="E276" i="2" s="1"/>
  <c r="E304" i="2"/>
  <c r="D307" i="2" s="1"/>
  <c r="E307" i="2" s="1"/>
  <c r="F308" i="2" s="1"/>
  <c r="E30" i="2" s="1"/>
  <c r="C290" i="2"/>
  <c r="C291" i="2" s="1"/>
  <c r="D292" i="2" s="1"/>
  <c r="E292" i="2" s="1"/>
  <c r="C26" i="8"/>
  <c r="C25" i="8"/>
  <c r="C16" i="8" s="1"/>
  <c r="C22" i="8" s="1"/>
  <c r="C31" i="8" s="1"/>
  <c r="C33" i="8" s="1"/>
  <c r="K35" i="5"/>
  <c r="K36" i="5" s="1"/>
  <c r="K37" i="5" s="1"/>
  <c r="K38" i="5" s="1"/>
  <c r="K39" i="5" s="1"/>
  <c r="K40" i="5" s="1"/>
  <c r="K41" i="5" s="1"/>
  <c r="F37" i="5"/>
  <c r="G37" i="5" s="1"/>
  <c r="C37" i="5"/>
  <c r="D101" i="2"/>
  <c r="E101" i="2" s="1"/>
  <c r="D102" i="2" s="1"/>
  <c r="E102" i="2" s="1"/>
  <c r="D136" i="2"/>
  <c r="E136" i="2" s="1"/>
  <c r="D138" i="2" s="1"/>
  <c r="E138" i="2" s="1"/>
  <c r="F228" i="2"/>
  <c r="E24" i="2" s="1"/>
  <c r="E261" i="2"/>
  <c r="F262" i="2" s="1"/>
  <c r="E248" i="2"/>
  <c r="F249" i="2" s="1"/>
  <c r="D280" i="2"/>
  <c r="E280" i="2" s="1"/>
  <c r="D281" i="2" s="1"/>
  <c r="E281" i="2" s="1"/>
  <c r="D119" i="2"/>
  <c r="C29" i="8" l="1"/>
  <c r="C34" i="8" s="1"/>
  <c r="G38" i="5"/>
  <c r="G32" i="5"/>
  <c r="E282" i="2"/>
  <c r="D283" i="2" s="1"/>
  <c r="E283" i="2" s="1"/>
  <c r="F284" i="2" s="1"/>
  <c r="E28" i="2" s="1"/>
  <c r="C296" i="2"/>
  <c r="D297" i="2" s="1"/>
  <c r="E297" i="2" s="1"/>
  <c r="E298" i="2" s="1"/>
  <c r="D299" i="2" s="1"/>
  <c r="E299" i="2" s="1"/>
  <c r="F300" i="2" s="1"/>
  <c r="F264" i="2"/>
  <c r="E25" i="2" s="1"/>
  <c r="E139" i="2"/>
  <c r="D140" i="2" s="1"/>
  <c r="E103" i="2"/>
  <c r="C200" i="2" l="1"/>
  <c r="E200" i="2" s="1"/>
  <c r="E201" i="2" s="1"/>
  <c r="D202" i="2" s="1"/>
  <c r="E202" i="2" s="1"/>
  <c r="F203" i="2" s="1"/>
  <c r="E21" i="2" s="1"/>
  <c r="C185" i="2"/>
  <c r="E185" i="2" s="1"/>
  <c r="E186" i="2" s="1"/>
  <c r="D187" i="2" s="1"/>
  <c r="E187" i="2" s="1"/>
  <c r="F188" i="2" s="1"/>
  <c r="E20" i="2" s="1"/>
  <c r="C155" i="2"/>
  <c r="E155" i="2" s="1"/>
  <c r="E156" i="2" s="1"/>
  <c r="D157" i="2" s="1"/>
  <c r="E157" i="2" s="1"/>
  <c r="E18" i="2" s="1"/>
  <c r="C170" i="2"/>
  <c r="E170" i="2" s="1"/>
  <c r="E171" i="2" s="1"/>
  <c r="D172" i="2" s="1"/>
  <c r="E172" i="2" s="1"/>
  <c r="F173" i="2" s="1"/>
  <c r="E19" i="2" s="1"/>
  <c r="C119" i="2"/>
  <c r="C85" i="2"/>
  <c r="E85" i="2" s="1"/>
  <c r="E86" i="2" s="1"/>
  <c r="D87" i="2" s="1"/>
  <c r="E87" i="2" s="1"/>
  <c r="F88" i="2" s="1"/>
  <c r="C140" i="2"/>
  <c r="C104" i="2"/>
  <c r="E29" i="2"/>
  <c r="E27" i="2" s="1"/>
  <c r="F496" i="2"/>
  <c r="E26" i="2" s="1"/>
  <c r="D104" i="2"/>
  <c r="E14" i="2" l="1"/>
  <c r="E104" i="2"/>
  <c r="E105" i="2" s="1"/>
  <c r="D106" i="2" s="1"/>
  <c r="E106" i="2" s="1"/>
  <c r="F107" i="2" s="1"/>
  <c r="E15" i="2" s="1"/>
  <c r="E140" i="2"/>
  <c r="E141" i="2" s="1"/>
  <c r="D142" i="2" s="1"/>
  <c r="E142" i="2" s="1"/>
  <c r="F143" i="2" s="1"/>
  <c r="E17" i="2" s="1"/>
  <c r="E119" i="2"/>
  <c r="E120" i="2" s="1"/>
  <c r="D121" i="2" s="1"/>
  <c r="E121" i="2" s="1"/>
  <c r="F122" i="2" s="1"/>
  <c r="E16" i="2" s="1"/>
  <c r="F230" i="2" l="1"/>
  <c r="F542" i="2" s="1"/>
  <c r="E13" i="2" l="1"/>
  <c r="D547" i="2"/>
  <c r="E547" i="2" s="1"/>
  <c r="F548" i="2" s="1"/>
  <c r="F550" i="2" s="1"/>
  <c r="E51" i="2" s="1"/>
  <c r="E52" i="2" l="1"/>
  <c r="F553" i="2"/>
  <c r="F560" i="2" s="1"/>
  <c r="F562" i="2" s="1"/>
  <c r="F563" i="2" l="1"/>
  <c r="F566" i="2"/>
  <c r="F50" i="2"/>
  <c r="F42" i="2"/>
  <c r="F45" i="2"/>
  <c r="F46" i="2"/>
  <c r="F44" i="2"/>
  <c r="F47" i="2"/>
  <c r="F43" i="2"/>
  <c r="F41" i="2"/>
  <c r="F39" i="2"/>
  <c r="F37" i="2"/>
  <c r="F35" i="2"/>
  <c r="F40" i="2"/>
  <c r="F38" i="2"/>
  <c r="F36" i="2"/>
  <c r="F34" i="2"/>
  <c r="F13" i="2"/>
  <c r="F19" i="2"/>
  <c r="F21" i="2"/>
  <c r="F20" i="2"/>
  <c r="F18" i="2"/>
  <c r="F49" i="2"/>
  <c r="F15" i="2"/>
  <c r="F25" i="2"/>
  <c r="F14" i="2"/>
  <c r="F24" i="2"/>
  <c r="F17" i="2"/>
  <c r="F26" i="2"/>
  <c r="F33" i="2"/>
  <c r="F32" i="2"/>
  <c r="F16" i="2"/>
  <c r="F27" i="2"/>
  <c r="F28" i="2"/>
  <c r="F29" i="2"/>
  <c r="F23" i="2"/>
  <c r="F30" i="2"/>
  <c r="F22" i="2"/>
  <c r="F48" i="2"/>
  <c r="F31" i="2"/>
  <c r="F51" i="2"/>
  <c r="F52" i="2" l="1"/>
</calcChain>
</file>

<file path=xl/sharedStrings.xml><?xml version="1.0" encoding="utf-8"?>
<sst xmlns="http://schemas.openxmlformats.org/spreadsheetml/2006/main" count="1029" uniqueCount="357">
  <si>
    <t>hora</t>
  </si>
  <si>
    <t>Adicional de Insalubridade</t>
  </si>
  <si>
    <t>%</t>
  </si>
  <si>
    <t>Soma</t>
  </si>
  <si>
    <t>Encargos Sociais</t>
  </si>
  <si>
    <t>Total do Efetivo</t>
  </si>
  <si>
    <t>homem</t>
  </si>
  <si>
    <t>Adicional Noturno</t>
  </si>
  <si>
    <t>mês</t>
  </si>
  <si>
    <t>vale</t>
  </si>
  <si>
    <t>unidade</t>
  </si>
  <si>
    <t>Colete reflexivo</t>
  </si>
  <si>
    <t>IPVA</t>
  </si>
  <si>
    <t>Seguro contra terceiros</t>
  </si>
  <si>
    <t>Impostos e seguros mensais</t>
  </si>
  <si>
    <t>Custo de óleo diesel / km rodado</t>
  </si>
  <si>
    <t>km/l</t>
  </si>
  <si>
    <t>Custo mensal com óleo diesel</t>
  </si>
  <si>
    <t>km</t>
  </si>
  <si>
    <t>l/1.000 km</t>
  </si>
  <si>
    <t>Custo mensal com óleo do motor</t>
  </si>
  <si>
    <t>Custo mensal com óleo da transmissão</t>
  </si>
  <si>
    <t>Custo mensal com óleo hidráulico</t>
  </si>
  <si>
    <t>Custo de graxa /1.000 km rodados</t>
  </si>
  <si>
    <t>kg/1.000 km</t>
  </si>
  <si>
    <t>Custo mensal com graxa</t>
  </si>
  <si>
    <t>km/jogo</t>
  </si>
  <si>
    <t>Pá de Concha</t>
  </si>
  <si>
    <t>Vassoura</t>
  </si>
  <si>
    <t>Calça</t>
  </si>
  <si>
    <t>Camiseta</t>
  </si>
  <si>
    <t>Boné</t>
  </si>
  <si>
    <t>Luva de proteção</t>
  </si>
  <si>
    <t>R$/tonelada</t>
  </si>
  <si>
    <t>R$</t>
  </si>
  <si>
    <t>Horas Extras (100%)</t>
  </si>
  <si>
    <t>Horas Extras (50%)</t>
  </si>
  <si>
    <t>Benefícios e despesas indiretas</t>
  </si>
  <si>
    <t>Custo mensal com manutenção</t>
  </si>
  <si>
    <t>Custo (R$/mês)</t>
  </si>
  <si>
    <t>Mão-de-obra</t>
  </si>
  <si>
    <t>Quantidade</t>
  </si>
  <si>
    <t>INSS</t>
  </si>
  <si>
    <t>FGTS</t>
  </si>
  <si>
    <t>Planilha de Composição de Custos</t>
  </si>
  <si>
    <t>Motorista</t>
  </si>
  <si>
    <t>2. Uniformes e Equipamentos de Proteção Individual</t>
  </si>
  <si>
    <t>3.1.1. Depreciação</t>
  </si>
  <si>
    <t>1. Mão-de-obra</t>
  </si>
  <si>
    <t>par</t>
  </si>
  <si>
    <t>frasco 120g</t>
  </si>
  <si>
    <t>Depreciação mensal veículos coletores</t>
  </si>
  <si>
    <t>3.1.3. Impostos e Seguros</t>
  </si>
  <si>
    <t>3.1.4. Consumos</t>
  </si>
  <si>
    <t>3.1.5. Manutenção</t>
  </si>
  <si>
    <t>3. Veículos e Equipamentos</t>
  </si>
  <si>
    <t>Custo mensal com pneus</t>
  </si>
  <si>
    <t>Veículos e Equipamentos</t>
  </si>
  <si>
    <t>Publicidade (adesivos equipamentos)</t>
  </si>
  <si>
    <t>cj</t>
  </si>
  <si>
    <t>Total de mão-de-obra (postos de trabalho)</t>
  </si>
  <si>
    <t>Publicidade (adesivos veículos)</t>
  </si>
  <si>
    <t>Custo mensal com implantação</t>
  </si>
  <si>
    <t>3.1.6. Pneus</t>
  </si>
  <si>
    <t>Protetor solar FPS 30</t>
  </si>
  <si>
    <t>Discriminação</t>
  </si>
  <si>
    <t>Unidade</t>
  </si>
  <si>
    <t>Subtotal</t>
  </si>
  <si>
    <r>
      <t xml:space="preserve">Total </t>
    </r>
    <r>
      <rPr>
        <b/>
        <u/>
        <sz val="9"/>
        <rFont val="Arial"/>
        <family val="2"/>
      </rPr>
      <t>(R$)</t>
    </r>
  </si>
  <si>
    <t>Jaqueta com reflexivo (NBR 15.292)</t>
  </si>
  <si>
    <t>Capa de chuva amarela com reflexivo</t>
  </si>
  <si>
    <t>Botina de segurança c/ palmilha aço</t>
  </si>
  <si>
    <t>PREÇO POR TONELADA COLETADA:  [A/B]</t>
  </si>
  <si>
    <t>Custo de recapagem</t>
  </si>
  <si>
    <t>Recipiente térmico para água (5L)</t>
  </si>
  <si>
    <t>Total por Coletor</t>
  </si>
  <si>
    <t>Coletor</t>
  </si>
  <si>
    <t>4. Ferramentas e Materiais de Consumo</t>
  </si>
  <si>
    <t>5. Monitoramento da Frota</t>
  </si>
  <si>
    <t>Administração Central</t>
  </si>
  <si>
    <t>AC</t>
  </si>
  <si>
    <t>Seguros/Riscos/Garantias</t>
  </si>
  <si>
    <t>SRG</t>
  </si>
  <si>
    <t>Lucro</t>
  </si>
  <si>
    <t>L</t>
  </si>
  <si>
    <t>Despesas Financeiras</t>
  </si>
  <si>
    <t>DF</t>
  </si>
  <si>
    <t>Tributos - ISS</t>
  </si>
  <si>
    <t>T</t>
  </si>
  <si>
    <t>Tributos - PIS/COFINS</t>
  </si>
  <si>
    <t>Fórmula para o cálculo do BDI:</t>
  </si>
  <si>
    <t>{[(1+AC+SRG) x (1+L) x (1+DF)] / (1-T)} -1</t>
  </si>
  <si>
    <t>Resultado do cálculo do BDI:</t>
  </si>
  <si>
    <t>1.2. Coletor Turno Noite</t>
  </si>
  <si>
    <t>Vale Transporte</t>
  </si>
  <si>
    <t>Dias Trabalhados por mês</t>
  </si>
  <si>
    <t>dia</t>
  </si>
  <si>
    <t>Custo Mensal com Mão-de-obra (R$/mês)</t>
  </si>
  <si>
    <t>Meia de algodão com cano alto</t>
  </si>
  <si>
    <t>Custo do jogo de pneus xxx/xx Rxx</t>
  </si>
  <si>
    <r>
      <t xml:space="preserve">Custo jg. compl. + </t>
    </r>
    <r>
      <rPr>
        <sz val="10"/>
        <color indexed="10"/>
        <rFont val="Arial"/>
        <family val="2"/>
      </rPr>
      <t>X</t>
    </r>
    <r>
      <rPr>
        <sz val="10"/>
        <rFont val="Arial"/>
        <family val="2"/>
      </rPr>
      <t xml:space="preserve"> recap./ km rodado</t>
    </r>
  </si>
  <si>
    <t>Quantitativos</t>
  </si>
  <si>
    <t>horas trabalhadas</t>
  </si>
  <si>
    <t>Horas Extras Noturnas (100%)</t>
  </si>
  <si>
    <t>1.4. Motorista Turno Noite</t>
  </si>
  <si>
    <t>hora contabilizada</t>
  </si>
  <si>
    <t>Vida útil do chassis</t>
  </si>
  <si>
    <t>anos</t>
  </si>
  <si>
    <t>Vida útil do compactador</t>
  </si>
  <si>
    <t>Depreciação do compactador</t>
  </si>
  <si>
    <t>Depreciação do chassis</t>
  </si>
  <si>
    <t>Custo de aquisição do compactador</t>
  </si>
  <si>
    <t>Custo de aquisição do chassis</t>
  </si>
  <si>
    <t>Depreciação mensal do compactador</t>
  </si>
  <si>
    <t>i = taxa de juros do mercado (sugere-se adotar a taxa SELIC)</t>
  </si>
  <si>
    <t>n = vida útil do bem em anos</t>
  </si>
  <si>
    <t>Custo do chassis</t>
  </si>
  <si>
    <t>Custo do compactador</t>
  </si>
  <si>
    <t>3.1.2. Remuneração do Capital</t>
  </si>
  <si>
    <t>Im = investimento médio</t>
  </si>
  <si>
    <t>Remuneração mensal de capital do compactador</t>
  </si>
  <si>
    <t>Investimento médio total do chassis</t>
  </si>
  <si>
    <t>Remuneração mensal de capital do chassis</t>
  </si>
  <si>
    <t>Investimento médio total do compactador</t>
  </si>
  <si>
    <t>Custo de manutenção dos caminhões</t>
  </si>
  <si>
    <t>Quilometragem mensal</t>
  </si>
  <si>
    <t>R$/km rodado</t>
  </si>
  <si>
    <t>Número de recapagens por pneu</t>
  </si>
  <si>
    <t>R$ mensal</t>
  </si>
  <si>
    <t>Admissões</t>
  </si>
  <si>
    <t>Desligamentos</t>
  </si>
  <si>
    <t>Dispensados com justa causa</t>
  </si>
  <si>
    <t>Dispensados sem justa causa</t>
  </si>
  <si>
    <t>Espontâneos</t>
  </si>
  <si>
    <t>Fim de contrato por prazo determinado</t>
  </si>
  <si>
    <t>Término de contrato</t>
  </si>
  <si>
    <t>Aposentados</t>
  </si>
  <si>
    <t>Mortos</t>
  </si>
  <si>
    <t>Transferência de saída</t>
  </si>
  <si>
    <t xml:space="preserve"> </t>
  </si>
  <si>
    <t>Indicadores</t>
  </si>
  <si>
    <t>Rotatividade</t>
  </si>
  <si>
    <t>Demitidos s/ Justa Causa em relação ao Estoque Médio</t>
  </si>
  <si>
    <t>Dias ano</t>
  </si>
  <si>
    <t>Estoque Médio</t>
  </si>
  <si>
    <t>Multa FGTS</t>
  </si>
  <si>
    <t>Fração de tempo para gozo férias</t>
  </si>
  <si>
    <t>Dias de Aviso prévio</t>
  </si>
  <si>
    <t>Código</t>
  </si>
  <si>
    <t>Descrição</t>
  </si>
  <si>
    <t>Valor</t>
  </si>
  <si>
    <t>A1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</si>
  <si>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</si>
  <si>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</si>
  <si>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</si>
  <si>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</si>
  <si>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</si>
  <si>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</si>
  <si>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</si>
  <si>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</si>
  <si>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</si>
  <si>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</si>
  <si>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</si>
  <si>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</si>
  <si>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</si>
  <si>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A</t>
  </si>
  <si>
    <t>SOMA GRUPO A</t>
  </si>
  <si>
    <t>B1</t>
  </si>
  <si>
    <t>Férias gozadas</t>
  </si>
  <si>
    <t>B2</t>
  </si>
  <si>
    <t>13º salário</t>
  </si>
  <si>
    <t>B4</t>
  </si>
  <si>
    <t>Licença Paternidade</t>
  </si>
  <si>
    <t>B5</t>
  </si>
  <si>
    <t>Faltas justificadas</t>
  </si>
  <si>
    <t>B6</t>
  </si>
  <si>
    <t>Auxilio acidente de trabalho</t>
  </si>
  <si>
    <t>Auxilio doença</t>
  </si>
  <si>
    <t>B</t>
  </si>
  <si>
    <t>SOMA GRUPO B</t>
  </si>
  <si>
    <t>C1</t>
  </si>
  <si>
    <t>Aviso prévio indenizado</t>
  </si>
  <si>
    <t>C3</t>
  </si>
  <si>
    <t xml:space="preserve">Férias indenizadas </t>
  </si>
  <si>
    <t>C4</t>
  </si>
  <si>
    <t>Férias indenizadas s/ aviso previo inden.</t>
  </si>
  <si>
    <t>C5</t>
  </si>
  <si>
    <t>Depósito rescisão sem justa causa</t>
  </si>
  <si>
    <t>Indenização adicional</t>
  </si>
  <si>
    <t>C</t>
  </si>
  <si>
    <t>SOMA GRUPO C</t>
  </si>
  <si>
    <t>D1</t>
  </si>
  <si>
    <t>Reincidência de Grupo A sobre Grupo B</t>
  </si>
  <si>
    <t>D2</t>
  </si>
  <si>
    <t>Reincidência de Grupo A sobre aviso prévio indenizado</t>
  </si>
  <si>
    <t>D</t>
  </si>
  <si>
    <t>SOMA GRUPO D</t>
  </si>
  <si>
    <t>SOMA (A+B+C+D)</t>
  </si>
  <si>
    <t>1° Quartil</t>
  </si>
  <si>
    <t>Médio</t>
  </si>
  <si>
    <t>3° Quartil</t>
  </si>
  <si>
    <t>DU</t>
  </si>
  <si>
    <t>Licenciamento e Seguro obrigatório</t>
  </si>
  <si>
    <t>Fator de utilização</t>
  </si>
  <si>
    <t>Fator de utilização (FU)</t>
  </si>
  <si>
    <t>2.1. Uniformes e EPIs para Coletor</t>
  </si>
  <si>
    <t>Higienização de uniformes e EPIs</t>
  </si>
  <si>
    <t>2.2. Uniformes e EPIs para demais categorias</t>
  </si>
  <si>
    <t>Custo Mensal com Uniformes e EPIs (R$/mês)</t>
  </si>
  <si>
    <t>Descrição do Item</t>
  </si>
  <si>
    <t>Orçamento Sintético</t>
  </si>
  <si>
    <t>Orientações para preenchimento:</t>
  </si>
  <si>
    <t>2. Preencher somente células em amarelo</t>
  </si>
  <si>
    <t>3. As células azuis deverão ter seus valores preenchidos em outra planilha do arquivo.</t>
  </si>
  <si>
    <t>Excluir esta linha caso a contratação seja por preço global mensal</t>
  </si>
  <si>
    <t>Rio Grande do Sul  - Coleta de Resíduos Não-Perigosos - CNAE 38114</t>
  </si>
  <si>
    <t xml:space="preserve">1. Acesse o Portal do CAGED no link http://bi.mte.gov.br/cagedestabelecimento/pages/consulta.xhtml </t>
  </si>
  <si>
    <t>3. Nível Geográfico: selecione "Unidade da Federação" e marque a opção "Rio Grande do Sul"</t>
  </si>
  <si>
    <t>4. Nível Setorial: selecione "Classe de atividade econômica segundo a classificação CNAE – versão 2.0 (669 categorias)" e marque a opção "38114 – Coleta de Resíduos Não-Perigosos"</t>
  </si>
  <si>
    <t>5. Clique em Gerar Relatório</t>
  </si>
  <si>
    <t>Para preencher esta planilha siga os passos 1 a 5:</t>
  </si>
  <si>
    <t>Idade do veículo (ano)</t>
  </si>
  <si>
    <t>Idade do veículo</t>
  </si>
  <si>
    <t>Idade do compactador</t>
  </si>
  <si>
    <t>Valor do veículo proposto (V0)</t>
  </si>
  <si>
    <t>Valor do compactador proposto (V0)</t>
  </si>
  <si>
    <t>Taxa de juros anual nominal</t>
  </si>
  <si>
    <t>Piso da categoria</t>
  </si>
  <si>
    <t>Salário mínimo nacional</t>
  </si>
  <si>
    <t>Base de cálculo da Insalubridade</t>
  </si>
  <si>
    <t>Piso da categoria (1)</t>
  </si>
  <si>
    <t>Salário mínimo nacional (2)</t>
  </si>
  <si>
    <t>Horas Extras Noturnas (50%)</t>
  </si>
  <si>
    <t>Excluir esta linha caso a contratação não tenha previsão de horas extras explícita no edital</t>
  </si>
  <si>
    <t>Descanso Semanal Remunerado (DSR) - hora extra</t>
  </si>
  <si>
    <t>C2</t>
  </si>
  <si>
    <t>B3</t>
  </si>
  <si>
    <t xml:space="preserve">1. Coleta de Resíduos Sólidos </t>
  </si>
  <si>
    <t>Custo Mensal com Monitoramento da Frota (R$/mês)</t>
  </si>
  <si>
    <t>Implantação dos equipamentos de monitoramento</t>
  </si>
  <si>
    <t>Manutenção dos equipamentos de monitoramento</t>
  </si>
  <si>
    <t>Custo Mensal com Veículos e Equipamentos (R$/mês)</t>
  </si>
  <si>
    <t>Custo Mensal com Ferramentas e Materiais de Consumo (R$/mês)</t>
  </si>
  <si>
    <t>CUSTO TOTAL MENSAL COM DESPESAS OPERACIONAIS (R$/mês)</t>
  </si>
  <si>
    <t>PREÇO MENSAL TOTAL (R$/mês)</t>
  </si>
  <si>
    <t>3. CAGED</t>
  </si>
  <si>
    <t>4. Composição do BDI - Benefícios e Despesas Indiretas</t>
  </si>
  <si>
    <t xml:space="preserve">2. Composição dos Encargos Sociais </t>
  </si>
  <si>
    <t>1. Esta planilha é somente um modelo-base. Qualquer custo previsto no edital e não contemplado nesta planilha deverá ser devidamente incluído</t>
  </si>
  <si>
    <t>5. Depreciação Referencial TCE/RS (%)</t>
  </si>
  <si>
    <r>
      <t>J</t>
    </r>
    <r>
      <rPr>
        <vertAlign val="subscript"/>
        <sz val="12"/>
        <color indexed="8"/>
        <rFont val="Arial"/>
        <family val="2"/>
      </rPr>
      <t>m</t>
    </r>
    <r>
      <rPr>
        <sz val="12"/>
        <color indexed="8"/>
        <rFont val="Arial"/>
        <family val="2"/>
      </rPr>
      <t xml:space="preserve"> = remuneração de capital mensal</t>
    </r>
  </si>
  <si>
    <r>
      <t>V</t>
    </r>
    <r>
      <rPr>
        <vertAlign val="subscript"/>
        <sz val="12"/>
        <color indexed="8"/>
        <rFont val="Arial"/>
        <family val="2"/>
      </rPr>
      <t>0</t>
    </r>
    <r>
      <rPr>
        <sz val="12"/>
        <color indexed="8"/>
        <rFont val="Arial"/>
        <family val="2"/>
      </rPr>
      <t xml:space="preserve"> = valor inicial do bem</t>
    </r>
  </si>
  <si>
    <r>
      <t>V</t>
    </r>
    <r>
      <rPr>
        <vertAlign val="subscript"/>
        <sz val="12"/>
        <color indexed="8"/>
        <rFont val="Arial"/>
        <family val="2"/>
      </rPr>
      <t>r</t>
    </r>
    <r>
      <rPr>
        <sz val="12"/>
        <color indexed="8"/>
        <rFont val="Arial"/>
        <family val="2"/>
      </rPr>
      <t xml:space="preserve"> = valor residual do bem</t>
    </r>
  </si>
  <si>
    <t>6. Remuneração de Capital</t>
  </si>
  <si>
    <t>Custo unitário</t>
  </si>
  <si>
    <t>Custo de óleo do motor /1.000 km rodados</t>
  </si>
  <si>
    <t>Custo de óleo da transmissão /1.000 km</t>
  </si>
  <si>
    <t>Custo de óleo hidráulico / 1.000 km</t>
  </si>
  <si>
    <t>PREÇO TOTAL MENSAL COM A COLETA</t>
  </si>
  <si>
    <t>CUSTO MENSAL COM BDI (R$/mês)</t>
  </si>
  <si>
    <t>CÁLCULO DAS VERBAS INDENIZATÓRIAS DOS EMPREGADOS NO SETOR DE COLETA DE RSU</t>
  </si>
  <si>
    <t>6. Preencha as células em amarelo</t>
  </si>
  <si>
    <t>1/3 de férias (dias)</t>
  </si>
  <si>
    <t>Férias (dias)</t>
  </si>
  <si>
    <t>13º Salário (dias)</t>
  </si>
  <si>
    <t>Referência estudo TCE</t>
  </si>
  <si>
    <t>1. Preencha previamente os dados de entrada na planilha 3.CAGED</t>
  </si>
  <si>
    <t>Rotatividade temporal (meses)</t>
  </si>
  <si>
    <t>1. Esta planilha é somente um modelo-base e deve ser ajustada conforme cada caso concreto.</t>
  </si>
  <si>
    <t>Fórmula de cálculo da remuneração de capital:</t>
  </si>
  <si>
    <t>Excluir esta linha caso a contratação não tenha previsão de horas extras 100% explícita no edital</t>
  </si>
  <si>
    <t>Excluir esta linha caso a contratação não tenha previsão de horas extras noturnas 100% explícita no edital</t>
  </si>
  <si>
    <t>Excluir esta linha caso a contratação não tenha previsão de horas extras 50% explícita no edital</t>
  </si>
  <si>
    <t>Excluir esta linha caso a contratação não tenha previsão de horas extras noturnas 50% explícita no edital</t>
  </si>
  <si>
    <t>Total por Motorista</t>
  </si>
  <si>
    <t>2. Na Especificação da Consulta, selecione "Demonstrativo por período" e informe as competências relativas ao período Inicial e Final (últimos 12 meses)</t>
  </si>
  <si>
    <t>Durabilidade (meses)</t>
  </si>
  <si>
    <t>Custo com consumos/km rodado</t>
  </si>
  <si>
    <t>Consumo</t>
  </si>
  <si>
    <t>Total por veículo</t>
  </si>
  <si>
    <t>Total da frota</t>
  </si>
  <si>
    <t>1. Esta planilha é somente um modelo de cálculo expedito e deve ser ajustada conforme cada caso concreto.</t>
  </si>
  <si>
    <t>Unid</t>
  </si>
  <si>
    <t>hab</t>
  </si>
  <si>
    <t>ton</t>
  </si>
  <si>
    <t>Densidade RSU compactado</t>
  </si>
  <si>
    <t>Kg/m³</t>
  </si>
  <si>
    <t>m³</t>
  </si>
  <si>
    <t>Kg/hab.dia</t>
  </si>
  <si>
    <t>ton/dia</t>
  </si>
  <si>
    <t>População (H)</t>
  </si>
  <si>
    <t>Geração per capita (G)</t>
  </si>
  <si>
    <t>Geração total diária (Qd)</t>
  </si>
  <si>
    <t>Quantitativo diário de coleta (Qc)</t>
  </si>
  <si>
    <t>Número de dias de coleta por semana (Dc)</t>
  </si>
  <si>
    <t>Capacidade nominal de carga (Cc)</t>
  </si>
  <si>
    <t>Número de Cargas por dia (Nc)</t>
  </si>
  <si>
    <t>Número de veículos da Frota (F)</t>
  </si>
  <si>
    <t>Geração Mensal</t>
  </si>
  <si>
    <t>Tipo de Veículo (1 = toco, 2 = truck)</t>
  </si>
  <si>
    <t>Capacidade do Compactador</t>
  </si>
  <si>
    <t>7. Dimensionamento da frota</t>
  </si>
  <si>
    <t>Indicador</t>
  </si>
  <si>
    <t>Número total de percursos de coleta por veículo, por dia (Np)</t>
  </si>
  <si>
    <t>i</t>
  </si>
  <si>
    <t>3. Preencher somente células em amarelo</t>
  </si>
  <si>
    <t>Depreciação Média</t>
  </si>
  <si>
    <t>2. Dimensionar separadamente setores atendidos por veículos de capacidade de carga diferentes.</t>
  </si>
  <si>
    <t>Tecnico de Segurança do Trabalho</t>
  </si>
  <si>
    <t>1.7. Responsavel Tecnico</t>
  </si>
  <si>
    <t>1.8. Tecnico de Segurança do Trabalho</t>
  </si>
  <si>
    <t>1.11. Auxílio Alimentação (mensal)</t>
  </si>
  <si>
    <t>3.2. Veículo Caminhao Bau (Coleta Seletiva)</t>
  </si>
  <si>
    <t>Custo de aquisição do bau</t>
  </si>
  <si>
    <t>Vida útil do bau</t>
  </si>
  <si>
    <t>Idade do bau</t>
  </si>
  <si>
    <t>Depreciação do bau</t>
  </si>
  <si>
    <t>Depreciação mensal do bau</t>
  </si>
  <si>
    <t>Total de Veiculos e Equipamentos</t>
  </si>
  <si>
    <t>6. Administração Local</t>
  </si>
  <si>
    <t>Comunicação Movel</t>
  </si>
  <si>
    <t>Custo mensal com administração local</t>
  </si>
  <si>
    <t>Custo Mensal com Administração Local (R$/mês)</t>
  </si>
  <si>
    <t>Estoque recuperado início do Período 01-01-2017</t>
  </si>
  <si>
    <t>Estoque recuperado final do Período 31-01-2018</t>
  </si>
  <si>
    <t>Variação Emprego Absoluta de 01-01-2017 a 31-01-2018</t>
  </si>
  <si>
    <t>Motorista de Carreta</t>
  </si>
  <si>
    <t>Destinação final dos residuos</t>
  </si>
  <si>
    <t>Custo mensal com destinação final</t>
  </si>
  <si>
    <t>Custo Mensal com Destinação Final (R$/mês)</t>
  </si>
  <si>
    <t>6. Destinação Final</t>
  </si>
  <si>
    <t>Motorista Carreta</t>
  </si>
  <si>
    <t>3.2.1. Depreciação</t>
  </si>
  <si>
    <t>3.2.2. Remuneração do Capital</t>
  </si>
  <si>
    <t>3.2.3. Impostos e Seguros</t>
  </si>
  <si>
    <t>3.2.4. Consumos</t>
  </si>
  <si>
    <t>3.2.5. Manutenção</t>
  </si>
  <si>
    <t>3.2.6. Pneus</t>
  </si>
  <si>
    <t>1.4. Motorista Carreta</t>
  </si>
  <si>
    <t>3.2. Locação de Contêiner capacidade 1.000L (um mil litros)</t>
  </si>
  <si>
    <t>3.2.3.  Locação de Contêiner capacidade 1.000L (um mil litros)</t>
  </si>
  <si>
    <t>Custo de locação de Container</t>
  </si>
  <si>
    <t>1.4. Vale Transporte</t>
  </si>
  <si>
    <t>1.5. Vale-refeição (diário)</t>
  </si>
  <si>
    <t>7. Benefícios e Despesas Indiretas - BDI</t>
  </si>
  <si>
    <t>Coletas por dia</t>
  </si>
  <si>
    <t xml:space="preserve">Quantidade média de resíduos coletados por mês, por caminhão: </t>
  </si>
  <si>
    <t>toneladas/mês/caminhão</t>
  </si>
  <si>
    <t>Dias do mês com coleta por equipe e caminhão</t>
  </si>
  <si>
    <t>valor por carga do caminhão</t>
  </si>
  <si>
    <t>Valor por caminhão por mês</t>
  </si>
  <si>
    <t>Capacidade do caminhão em toneladas</t>
  </si>
  <si>
    <t>Coletas por mês para Independência</t>
  </si>
  <si>
    <t>Custo por caminhão por mês para Independência</t>
  </si>
  <si>
    <r>
      <t>3.1. Veículo Coletor Compactador</t>
    </r>
    <r>
      <rPr>
        <sz val="10"/>
        <color indexed="10"/>
        <rFont val="Arial"/>
        <family val="2"/>
      </rPr>
      <t xml:space="preserve"> 10</t>
    </r>
    <r>
      <rPr>
        <sz val="10"/>
        <rFont val="Arial"/>
        <family val="2"/>
      </rPr>
      <t xml:space="preserve"> m³</t>
    </r>
  </si>
  <si>
    <t>1.2. Motorista Turno do Dia - CETCERGS-SINECARGA - previsto dissídio de 6%</t>
  </si>
  <si>
    <t>1.1. Coletor Turno Dia - SINDIASSEIO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</si>
</sst>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&quot;R$ &quot;#,##0.00_);\(&quot;R$ &quot;#,##0.00\)"/>
    <numFmt numFmtId="165" formatCode="_(* #,##0.00_);_(* \(#,##0.00\);_(* &quot;-&quot;??_);_(@_)"/>
    <numFmt numFmtId="166" formatCode="_(* #,##0_);_(* \(#,##0\);_(* &quot;-&quot;??_);_(@_)"/>
    <numFmt numFmtId="167" formatCode="_(* #,##0.000_);_(* \(#,##0.000\);_(* &quot;-&quot;??_);_(@_)"/>
    <numFmt numFmtId="168" formatCode="&quot;R$ &quot;#,##0.00"/>
    <numFmt numFmtId="169" formatCode="0.0000"/>
    <numFmt numFmtId="170" formatCode="_-* #,##0.000_-;\-* #,##0.000_-;_-* &quot;-&quot;??_-;_-@_-"/>
    <numFmt numFmtId="171" formatCode="_-* #,##0.00_-;\-* #,##0.00_-;_-* &quot;-&quot;?_-;_-@_-"/>
    <numFmt numFmtId="172" formatCode="_-* #,##0.0_-;\-* #,##0.0_-;_-* &quot;-&quot;?_-;_-@_-"/>
  </numFmts>
  <fonts count="2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b/>
      <sz val="9"/>
      <name val="Arial"/>
      <family val="2"/>
    </font>
    <font>
      <b/>
      <u/>
      <sz val="9"/>
      <name val="Arial"/>
      <family val="2"/>
    </font>
    <font>
      <b/>
      <sz val="14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sz val="12"/>
      <color theme="1"/>
      <name val="Arial"/>
      <family val="2"/>
    </font>
    <font>
      <vertAlign val="subscript"/>
      <sz val="12"/>
      <color indexed="8"/>
      <name val="Arial"/>
      <family val="2"/>
    </font>
    <font>
      <sz val="12"/>
      <color indexed="8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sz val="10"/>
      <color rgb="FF000000"/>
      <name val="Arial"/>
      <family val="2"/>
    </font>
    <font>
      <sz val="13"/>
      <color theme="1"/>
      <name val="Arial"/>
      <family val="2"/>
    </font>
    <font>
      <sz val="10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42">
    <xf numFmtId="0" fontId="0" fillId="0" borderId="0" xfId="0"/>
    <xf numFmtId="0" fontId="6" fillId="0" borderId="0" xfId="0" applyFont="1"/>
    <xf numFmtId="0" fontId="6" fillId="0" borderId="1" xfId="0" applyFont="1" applyBorder="1"/>
    <xf numFmtId="0" fontId="0" fillId="0" borderId="0" xfId="0" applyAlignment="1">
      <alignment vertical="center"/>
    </xf>
    <xf numFmtId="165" fontId="0" fillId="0" borderId="0" xfId="3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5" fontId="6" fillId="0" borderId="0" xfId="3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165" fontId="5" fillId="0" borderId="0" xfId="3" applyFont="1" applyAlignment="1">
      <alignment vertical="center"/>
    </xf>
    <xf numFmtId="165" fontId="6" fillId="0" borderId="0" xfId="3" applyFont="1"/>
    <xf numFmtId="165" fontId="3" fillId="0" borderId="5" xfId="3" applyFont="1" applyBorder="1" applyAlignment="1">
      <alignment horizontal="left" vertical="center"/>
    </xf>
    <xf numFmtId="165" fontId="3" fillId="0" borderId="0" xfId="3" applyFont="1" applyAlignment="1">
      <alignment vertical="center"/>
    </xf>
    <xf numFmtId="165" fontId="0" fillId="0" borderId="14" xfId="3" applyFont="1" applyBorder="1" applyAlignment="1">
      <alignment vertical="center"/>
    </xf>
    <xf numFmtId="0" fontId="1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6" fillId="0" borderId="0" xfId="3" applyFont="1" applyBorder="1" applyAlignment="1">
      <alignment vertical="center"/>
    </xf>
    <xf numFmtId="0" fontId="13" fillId="2" borderId="16" xfId="0" applyFont="1" applyFill="1" applyBorder="1" applyAlignment="1">
      <alignment horizontal="center" vertical="center"/>
    </xf>
    <xf numFmtId="165" fontId="3" fillId="0" borderId="19" xfId="3" applyFont="1" applyBorder="1" applyAlignment="1">
      <alignment horizontal="center" vertical="center"/>
    </xf>
    <xf numFmtId="165" fontId="1" fillId="0" borderId="14" xfId="3" applyFont="1" applyBorder="1" applyAlignment="1">
      <alignment horizontal="left" vertical="center"/>
    </xf>
    <xf numFmtId="165" fontId="6" fillId="0" borderId="14" xfId="3" applyFont="1" applyBorder="1" applyAlignment="1">
      <alignment vertical="center"/>
    </xf>
    <xf numFmtId="165" fontId="3" fillId="0" borderId="28" xfId="3" applyFont="1" applyBorder="1" applyAlignment="1">
      <alignment vertical="center"/>
    </xf>
    <xf numFmtId="165" fontId="6" fillId="0" borderId="19" xfId="3" applyFont="1" applyBorder="1" applyAlignment="1">
      <alignment vertical="center"/>
    </xf>
    <xf numFmtId="165" fontId="11" fillId="0" borderId="0" xfId="3" applyFont="1" applyAlignment="1">
      <alignment vertical="center"/>
    </xf>
    <xf numFmtId="43" fontId="6" fillId="0" borderId="0" xfId="0" applyNumberFormat="1" applyFont="1" applyAlignment="1">
      <alignment vertical="center"/>
    </xf>
    <xf numFmtId="0" fontId="3" fillId="0" borderId="1" xfId="0" applyFont="1" applyBorder="1" applyAlignment="1">
      <alignment vertical="center"/>
    </xf>
    <xf numFmtId="0" fontId="8" fillId="0" borderId="0" xfId="1" applyAlignment="1" applyProtection="1">
      <alignment vertical="center"/>
    </xf>
    <xf numFmtId="0" fontId="3" fillId="0" borderId="0" xfId="0" applyFont="1"/>
    <xf numFmtId="0" fontId="13" fillId="2" borderId="32" xfId="0" applyFont="1" applyFill="1" applyBorder="1" applyAlignment="1">
      <alignment horizontal="center" vertical="center"/>
    </xf>
    <xf numFmtId="165" fontId="6" fillId="0" borderId="0" xfId="3" applyFont="1" applyFill="1" applyAlignment="1">
      <alignment vertical="center"/>
    </xf>
    <xf numFmtId="0" fontId="3" fillId="0" borderId="3" xfId="0" applyFont="1" applyBorder="1" applyAlignment="1">
      <alignment vertical="center"/>
    </xf>
    <xf numFmtId="0" fontId="0" fillId="0" borderId="0" xfId="0" applyAlignment="1">
      <alignment horizontal="center"/>
    </xf>
    <xf numFmtId="165" fontId="3" fillId="0" borderId="14" xfId="3" applyFont="1" applyBorder="1" applyAlignment="1">
      <alignment vertical="center"/>
    </xf>
    <xf numFmtId="165" fontId="3" fillId="0" borderId="38" xfId="3" applyFont="1" applyBorder="1" applyAlignment="1">
      <alignment vertical="center"/>
    </xf>
    <xf numFmtId="165" fontId="3" fillId="0" borderId="14" xfId="3" applyFont="1" applyBorder="1" applyAlignment="1">
      <alignment horizontal="left" vertical="center"/>
    </xf>
    <xf numFmtId="4" fontId="6" fillId="0" borderId="0" xfId="0" applyNumberFormat="1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15" fillId="0" borderId="0" xfId="0" applyFont="1" applyAlignment="1">
      <alignment vertical="center"/>
    </xf>
    <xf numFmtId="0" fontId="0" fillId="0" borderId="38" xfId="0" applyBorder="1" applyAlignment="1">
      <alignment vertical="center"/>
    </xf>
    <xf numFmtId="0" fontId="16" fillId="0" borderId="14" xfId="0" applyFont="1" applyBorder="1"/>
    <xf numFmtId="0" fontId="16" fillId="0" borderId="45" xfId="0" applyFont="1" applyBorder="1"/>
    <xf numFmtId="0" fontId="16" fillId="3" borderId="20" xfId="0" applyFont="1" applyFill="1" applyBorder="1"/>
    <xf numFmtId="0" fontId="16" fillId="0" borderId="23" xfId="0" applyFont="1" applyBorder="1"/>
    <xf numFmtId="0" fontId="16" fillId="0" borderId="49" xfId="0" applyFont="1" applyBorder="1"/>
    <xf numFmtId="0" fontId="16" fillId="0" borderId="46" xfId="0" applyFont="1" applyBorder="1"/>
    <xf numFmtId="0" fontId="16" fillId="0" borderId="50" xfId="0" applyFont="1" applyBorder="1"/>
    <xf numFmtId="0" fontId="16" fillId="0" borderId="20" xfId="0" applyFont="1" applyBorder="1"/>
    <xf numFmtId="0" fontId="16" fillId="0" borderId="28" xfId="0" applyFont="1" applyBorder="1"/>
    <xf numFmtId="2" fontId="17" fillId="6" borderId="1" xfId="0" applyNumberFormat="1" applyFont="1" applyFill="1" applyBorder="1" applyAlignment="1">
      <alignment horizontal="right" vertical="center"/>
    </xf>
    <xf numFmtId="0" fontId="17" fillId="0" borderId="23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/>
    </xf>
    <xf numFmtId="2" fontId="17" fillId="6" borderId="36" xfId="0" applyNumberFormat="1" applyFont="1" applyFill="1" applyBorder="1" applyAlignment="1">
      <alignment horizontal="right" vertical="center"/>
    </xf>
    <xf numFmtId="0" fontId="17" fillId="0" borderId="23" xfId="0" applyFont="1" applyBorder="1" applyAlignment="1">
      <alignment horizontal="left" vertical="center"/>
    </xf>
    <xf numFmtId="0" fontId="17" fillId="0" borderId="1" xfId="0" applyFont="1" applyBorder="1" applyAlignment="1">
      <alignment horizontal="left" vertical="center"/>
    </xf>
    <xf numFmtId="0" fontId="17" fillId="0" borderId="20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10" fontId="17" fillId="0" borderId="20" xfId="0" applyNumberFormat="1" applyFont="1" applyBorder="1" applyAlignment="1">
      <alignment horizontal="right" vertical="center"/>
    </xf>
    <xf numFmtId="0" fontId="21" fillId="0" borderId="1" xfId="0" applyFont="1" applyBorder="1" applyAlignment="1">
      <alignment horizontal="left" vertical="center"/>
    </xf>
    <xf numFmtId="10" fontId="21" fillId="0" borderId="20" xfId="0" applyNumberFormat="1" applyFont="1" applyBorder="1" applyAlignment="1">
      <alignment horizontal="right" vertical="center"/>
    </xf>
    <xf numFmtId="0" fontId="17" fillId="5" borderId="23" xfId="0" applyFont="1" applyFill="1" applyBorder="1" applyAlignment="1">
      <alignment horizontal="left" vertical="center"/>
    </xf>
    <xf numFmtId="0" fontId="21" fillId="5" borderId="1" xfId="0" applyFont="1" applyFill="1" applyBorder="1" applyAlignment="1">
      <alignment horizontal="left" vertical="center"/>
    </xf>
    <xf numFmtId="10" fontId="21" fillId="5" borderId="20" xfId="0" applyNumberFormat="1" applyFont="1" applyFill="1" applyBorder="1" applyAlignment="1">
      <alignment horizontal="right" vertical="center"/>
    </xf>
    <xf numFmtId="0" fontId="22" fillId="0" borderId="1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10" fontId="6" fillId="0" borderId="0" xfId="0" applyNumberFormat="1" applyFont="1"/>
    <xf numFmtId="9" fontId="17" fillId="0" borderId="0" xfId="2" applyFont="1" applyBorder="1" applyAlignment="1">
      <alignment horizontal="right" vertical="center"/>
    </xf>
    <xf numFmtId="0" fontId="17" fillId="0" borderId="1" xfId="0" applyFont="1" applyBorder="1" applyAlignment="1">
      <alignment horizontal="left" vertical="center" wrapText="1"/>
    </xf>
    <xf numFmtId="0" fontId="17" fillId="8" borderId="24" xfId="0" applyFont="1" applyFill="1" applyBorder="1" applyAlignment="1">
      <alignment horizontal="left" vertical="center"/>
    </xf>
    <xf numFmtId="0" fontId="21" fillId="8" borderId="36" xfId="0" applyFont="1" applyFill="1" applyBorder="1" applyAlignment="1">
      <alignment horizontal="left" vertical="center"/>
    </xf>
    <xf numFmtId="10" fontId="21" fillId="8" borderId="37" xfId="0" applyNumberFormat="1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10" fontId="21" fillId="0" borderId="0" xfId="0" applyNumberFormat="1" applyFont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10" fontId="17" fillId="0" borderId="0" xfId="0" applyNumberFormat="1" applyFont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24" fillId="0" borderId="0" xfId="0" applyFont="1" applyAlignment="1">
      <alignment horizontal="justify" vertical="center"/>
    </xf>
    <xf numFmtId="0" fontId="8" fillId="0" borderId="0" xfId="1" applyBorder="1" applyAlignment="1" applyProtection="1">
      <alignment horizontal="left" vertical="center"/>
    </xf>
    <xf numFmtId="0" fontId="25" fillId="0" borderId="0" xfId="0" applyFont="1"/>
    <xf numFmtId="0" fontId="17" fillId="0" borderId="0" xfId="0" applyFont="1" applyAlignment="1">
      <alignment horizontal="right" vertical="center"/>
    </xf>
    <xf numFmtId="0" fontId="8" fillId="0" borderId="0" xfId="1" applyBorder="1" applyAlignment="1" applyProtection="1">
      <alignment vertical="center"/>
    </xf>
    <xf numFmtId="0" fontId="5" fillId="0" borderId="15" xfId="0" applyFont="1" applyBorder="1"/>
    <xf numFmtId="0" fontId="5" fillId="0" borderId="23" xfId="0" applyFont="1" applyBorder="1"/>
    <xf numFmtId="0" fontId="5" fillId="3" borderId="20" xfId="0" applyFont="1" applyFill="1" applyBorder="1"/>
    <xf numFmtId="0" fontId="5" fillId="0" borderId="45" xfId="0" applyFont="1" applyBorder="1"/>
    <xf numFmtId="0" fontId="5" fillId="3" borderId="46" xfId="0" applyFont="1" applyFill="1" applyBorder="1"/>
    <xf numFmtId="0" fontId="5" fillId="0" borderId="47" xfId="0" applyFont="1" applyBorder="1"/>
    <xf numFmtId="0" fontId="5" fillId="3" borderId="48" xfId="0" applyFont="1" applyFill="1" applyBorder="1"/>
    <xf numFmtId="0" fontId="5" fillId="0" borderId="38" xfId="0" applyFont="1" applyBorder="1"/>
    <xf numFmtId="0" fontId="5" fillId="0" borderId="39" xfId="0" applyFont="1" applyBorder="1"/>
    <xf numFmtId="0" fontId="7" fillId="0" borderId="46" xfId="0" applyFont="1" applyBorder="1"/>
    <xf numFmtId="9" fontId="7" fillId="0" borderId="46" xfId="0" applyNumberFormat="1" applyFont="1" applyBorder="1"/>
    <xf numFmtId="0" fontId="7" fillId="0" borderId="38" xfId="0" applyFont="1" applyBorder="1" applyAlignment="1">
      <alignment horizontal="left" vertical="center"/>
    </xf>
    <xf numFmtId="9" fontId="5" fillId="0" borderId="23" xfId="2" applyFont="1" applyBorder="1"/>
    <xf numFmtId="9" fontId="5" fillId="0" borderId="1" xfId="2" applyFont="1" applyBorder="1" applyAlignment="1">
      <alignment horizontal="center"/>
    </xf>
    <xf numFmtId="9" fontId="5" fillId="0" borderId="20" xfId="2" applyFont="1" applyBorder="1"/>
    <xf numFmtId="0" fontId="5" fillId="0" borderId="21" xfId="0" applyFont="1" applyBorder="1" applyAlignment="1">
      <alignment horizontal="left" vertical="center"/>
    </xf>
    <xf numFmtId="0" fontId="5" fillId="0" borderId="22" xfId="0" applyFont="1" applyBorder="1" applyAlignment="1">
      <alignment horizontal="center" vertical="center"/>
    </xf>
    <xf numFmtId="10" fontId="5" fillId="3" borderId="12" xfId="0" applyNumberFormat="1" applyFont="1" applyFill="1" applyBorder="1" applyAlignment="1">
      <alignment horizontal="center" vertical="center"/>
    </xf>
    <xf numFmtId="10" fontId="5" fillId="0" borderId="20" xfId="2" applyNumberFormat="1" applyFont="1" applyBorder="1"/>
    <xf numFmtId="0" fontId="5" fillId="0" borderId="23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10" fontId="5" fillId="3" borderId="20" xfId="0" applyNumberFormat="1" applyFont="1" applyFill="1" applyBorder="1" applyAlignment="1">
      <alignment horizontal="center" vertical="center"/>
    </xf>
    <xf numFmtId="10" fontId="5" fillId="0" borderId="20" xfId="0" applyNumberFormat="1" applyFont="1" applyBorder="1" applyAlignment="1">
      <alignment horizontal="center" vertical="center"/>
    </xf>
    <xf numFmtId="10" fontId="5" fillId="3" borderId="1" xfId="2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0" borderId="20" xfId="0" applyFont="1" applyBorder="1"/>
    <xf numFmtId="0" fontId="5" fillId="0" borderId="24" xfId="0" applyFont="1" applyBorder="1" applyAlignment="1">
      <alignment horizontal="left" vertical="center"/>
    </xf>
    <xf numFmtId="10" fontId="5" fillId="3" borderId="37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25" xfId="0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10" fontId="5" fillId="0" borderId="27" xfId="0" applyNumberFormat="1" applyFont="1" applyBorder="1" applyAlignment="1">
      <alignment vertical="center"/>
    </xf>
    <xf numFmtId="0" fontId="5" fillId="0" borderId="28" xfId="0" applyFont="1" applyBorder="1" applyAlignment="1">
      <alignment horizontal="left" vertical="center"/>
    </xf>
    <xf numFmtId="0" fontId="5" fillId="0" borderId="29" xfId="0" applyFont="1" applyBorder="1" applyAlignment="1">
      <alignment horizontal="left" vertical="center"/>
    </xf>
    <xf numFmtId="0" fontId="5" fillId="0" borderId="30" xfId="0" applyFont="1" applyBorder="1" applyAlignment="1">
      <alignment vertical="center"/>
    </xf>
    <xf numFmtId="0" fontId="7" fillId="5" borderId="5" xfId="0" applyFont="1" applyFill="1" applyBorder="1" applyAlignment="1">
      <alignment vertical="center" wrapText="1"/>
    </xf>
    <xf numFmtId="0" fontId="5" fillId="5" borderId="6" xfId="0" applyFont="1" applyFill="1" applyBorder="1" applyAlignment="1">
      <alignment vertical="center"/>
    </xf>
    <xf numFmtId="10" fontId="7" fillId="5" borderId="7" xfId="0" applyNumberFormat="1" applyFont="1" applyFill="1" applyBorder="1" applyAlignment="1">
      <alignment horizontal="center" vertical="center" wrapText="1"/>
    </xf>
    <xf numFmtId="10" fontId="5" fillId="0" borderId="23" xfId="2" applyNumberFormat="1" applyFont="1" applyBorder="1" applyAlignment="1">
      <alignment horizontal="right"/>
    </xf>
    <xf numFmtId="10" fontId="5" fillId="0" borderId="1" xfId="2" applyNumberFormat="1" applyFont="1" applyBorder="1" applyAlignment="1">
      <alignment horizontal="right"/>
    </xf>
    <xf numFmtId="10" fontId="5" fillId="0" borderId="20" xfId="2" applyNumberFormat="1" applyFont="1" applyBorder="1" applyAlignment="1">
      <alignment horizontal="right"/>
    </xf>
    <xf numFmtId="10" fontId="5" fillId="0" borderId="24" xfId="2" applyNumberFormat="1" applyFont="1" applyBorder="1" applyAlignment="1">
      <alignment horizontal="right"/>
    </xf>
    <xf numFmtId="10" fontId="5" fillId="0" borderId="36" xfId="2" applyNumberFormat="1" applyFont="1" applyBorder="1" applyAlignment="1">
      <alignment horizontal="right"/>
    </xf>
    <xf numFmtId="10" fontId="5" fillId="0" borderId="37" xfId="2" applyNumberFormat="1" applyFont="1" applyBorder="1" applyAlignment="1">
      <alignment horizontal="right"/>
    </xf>
    <xf numFmtId="0" fontId="6" fillId="0" borderId="52" xfId="0" applyFont="1" applyBorder="1"/>
    <xf numFmtId="0" fontId="18" fillId="0" borderId="52" xfId="0" applyFont="1" applyBorder="1" applyAlignment="1">
      <alignment horizontal="justify"/>
    </xf>
    <xf numFmtId="0" fontId="18" fillId="0" borderId="53" xfId="0" applyFont="1" applyBorder="1" applyAlignment="1">
      <alignment horizontal="justify"/>
    </xf>
    <xf numFmtId="0" fontId="15" fillId="9" borderId="51" xfId="0" applyFont="1" applyFill="1" applyBorder="1" applyAlignment="1">
      <alignment horizontal="center"/>
    </xf>
    <xf numFmtId="165" fontId="3" fillId="0" borderId="5" xfId="3" applyFont="1" applyBorder="1" applyAlignment="1">
      <alignment vertical="center"/>
    </xf>
    <xf numFmtId="0" fontId="4" fillId="0" borderId="3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1" fillId="6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/>
    <xf numFmtId="169" fontId="16" fillId="0" borderId="46" xfId="0" applyNumberFormat="1" applyFont="1" applyBorder="1"/>
    <xf numFmtId="169" fontId="7" fillId="0" borderId="46" xfId="0" applyNumberFormat="1" applyFont="1" applyBorder="1"/>
    <xf numFmtId="169" fontId="7" fillId="0" borderId="31" xfId="0" applyNumberFormat="1" applyFont="1" applyBorder="1"/>
    <xf numFmtId="0" fontId="3" fillId="0" borderId="54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7" fillId="0" borderId="23" xfId="0" applyFont="1" applyBorder="1"/>
    <xf numFmtId="0" fontId="7" fillId="0" borderId="1" xfId="0" applyFont="1" applyBorder="1"/>
    <xf numFmtId="0" fontId="7" fillId="0" borderId="20" xfId="0" applyFont="1" applyBorder="1"/>
    <xf numFmtId="0" fontId="5" fillId="0" borderId="1" xfId="0" applyFont="1" applyBorder="1"/>
    <xf numFmtId="170" fontId="22" fillId="0" borderId="20" xfId="3" applyNumberFormat="1" applyFont="1" applyBorder="1" applyAlignment="1">
      <alignment horizontal="center" vertical="center" wrapText="1"/>
    </xf>
    <xf numFmtId="171" fontId="5" fillId="0" borderId="20" xfId="0" applyNumberFormat="1" applyFont="1" applyBorder="1"/>
    <xf numFmtId="2" fontId="5" fillId="0" borderId="20" xfId="0" applyNumberFormat="1" applyFont="1" applyBorder="1"/>
    <xf numFmtId="0" fontId="5" fillId="0" borderId="24" xfId="0" applyFont="1" applyBorder="1"/>
    <xf numFmtId="0" fontId="5" fillId="0" borderId="36" xfId="0" applyFont="1" applyBorder="1"/>
    <xf numFmtId="171" fontId="5" fillId="3" borderId="20" xfId="0" applyNumberFormat="1" applyFont="1" applyFill="1" applyBorder="1"/>
    <xf numFmtId="171" fontId="5" fillId="0" borderId="37" xfId="0" applyNumberFormat="1" applyFont="1" applyBorder="1"/>
    <xf numFmtId="0" fontId="15" fillId="0" borderId="1" xfId="0" applyFont="1" applyBorder="1" applyAlignment="1">
      <alignment horizontal="center"/>
    </xf>
    <xf numFmtId="0" fontId="15" fillId="0" borderId="23" xfId="0" applyFont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5" fillId="0" borderId="23" xfId="0" applyFont="1" applyBorder="1" applyAlignment="1">
      <alignment horizontal="right"/>
    </xf>
    <xf numFmtId="172" fontId="5" fillId="3" borderId="20" xfId="0" applyNumberFormat="1" applyFont="1" applyFill="1" applyBorder="1"/>
    <xf numFmtId="0" fontId="1" fillId="0" borderId="2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6" fillId="4" borderId="0" xfId="0" applyFont="1" applyFill="1" applyAlignment="1">
      <alignment vertical="center"/>
    </xf>
    <xf numFmtId="0" fontId="0" fillId="4" borderId="0" xfId="0" applyFill="1" applyAlignment="1">
      <alignment vertical="center"/>
    </xf>
    <xf numFmtId="4" fontId="0" fillId="4" borderId="0" xfId="0" applyNumberFormat="1" applyFill="1" applyAlignment="1">
      <alignment vertical="center"/>
    </xf>
    <xf numFmtId="165" fontId="0" fillId="4" borderId="11" xfId="3" applyFont="1" applyFill="1" applyBorder="1" applyAlignment="1">
      <alignment vertical="center"/>
    </xf>
    <xf numFmtId="165" fontId="3" fillId="4" borderId="9" xfId="0" applyNumberFormat="1" applyFont="1" applyFill="1" applyBorder="1" applyAlignment="1">
      <alignment vertical="center"/>
    </xf>
    <xf numFmtId="165" fontId="0" fillId="4" borderId="9" xfId="0" applyNumberFormat="1" applyFill="1" applyBorder="1" applyAlignment="1">
      <alignment vertical="center"/>
    </xf>
    <xf numFmtId="4" fontId="3" fillId="4" borderId="9" xfId="0" applyNumberFormat="1" applyFont="1" applyFill="1" applyBorder="1" applyAlignment="1">
      <alignment horizontal="centerContinuous" vertical="center"/>
    </xf>
    <xf numFmtId="4" fontId="0" fillId="4" borderId="9" xfId="0" applyNumberFormat="1" applyFill="1" applyBorder="1" applyAlignment="1">
      <alignment horizontal="centerContinuous" vertical="center"/>
    </xf>
    <xf numFmtId="4" fontId="3" fillId="4" borderId="6" xfId="0" applyNumberFormat="1" applyFont="1" applyFill="1" applyBorder="1" applyAlignment="1">
      <alignment horizontal="centerContinuous" vertical="center"/>
    </xf>
    <xf numFmtId="165" fontId="6" fillId="4" borderId="11" xfId="3" applyFont="1" applyFill="1" applyBorder="1" applyAlignment="1">
      <alignment vertical="center"/>
    </xf>
    <xf numFmtId="165" fontId="6" fillId="4" borderId="9" xfId="3" applyFont="1" applyFill="1" applyBorder="1" applyAlignment="1">
      <alignment vertical="center"/>
    </xf>
    <xf numFmtId="4" fontId="3" fillId="4" borderId="29" xfId="0" applyNumberFormat="1" applyFont="1" applyFill="1" applyBorder="1" applyAlignment="1">
      <alignment vertical="center"/>
    </xf>
    <xf numFmtId="4" fontId="3" fillId="4" borderId="0" xfId="0" applyNumberFormat="1" applyFont="1" applyFill="1" applyAlignment="1">
      <alignment vertical="center"/>
    </xf>
    <xf numFmtId="165" fontId="6" fillId="4" borderId="0" xfId="3" applyFont="1" applyFill="1" applyBorder="1" applyAlignment="1">
      <alignment vertical="center"/>
    </xf>
    <xf numFmtId="9" fontId="3" fillId="4" borderId="7" xfId="2" applyFont="1" applyFill="1" applyBorder="1" applyAlignment="1">
      <alignment vertical="center"/>
    </xf>
    <xf numFmtId="0" fontId="13" fillId="4" borderId="17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right" vertical="center"/>
    </xf>
    <xf numFmtId="0" fontId="3" fillId="4" borderId="6" xfId="0" applyFont="1" applyFill="1" applyBorder="1" applyAlignment="1">
      <alignment vertical="center"/>
    </xf>
    <xf numFmtId="0" fontId="6" fillId="4" borderId="1" xfId="0" applyFont="1" applyFill="1" applyBorder="1" applyAlignment="1">
      <alignment horizontal="center"/>
    </xf>
    <xf numFmtId="0" fontId="6" fillId="4" borderId="6" xfId="0" applyFont="1" applyFill="1" applyBorder="1" applyAlignment="1">
      <alignment vertical="center"/>
    </xf>
    <xf numFmtId="0" fontId="8" fillId="4" borderId="0" xfId="1" applyFill="1" applyAlignment="1" applyProtection="1">
      <alignment vertical="center"/>
    </xf>
    <xf numFmtId="0" fontId="3" fillId="4" borderId="54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left" vertical="center" wrapText="1"/>
    </xf>
    <xf numFmtId="0" fontId="13" fillId="4" borderId="33" xfId="0" applyFont="1" applyFill="1" applyBorder="1" applyAlignment="1">
      <alignment horizontal="center" vertical="center"/>
    </xf>
    <xf numFmtId="3" fontId="6" fillId="4" borderId="0" xfId="0" applyNumberFormat="1" applyFont="1" applyFill="1" applyAlignment="1">
      <alignment vertical="center"/>
    </xf>
    <xf numFmtId="3" fontId="6" fillId="4" borderId="1" xfId="0" applyNumberFormat="1" applyFont="1" applyFill="1" applyBorder="1" applyAlignment="1">
      <alignment vertical="center"/>
    </xf>
    <xf numFmtId="0" fontId="3" fillId="4" borderId="0" xfId="0" applyFont="1" applyFill="1" applyAlignment="1">
      <alignment vertical="center"/>
    </xf>
    <xf numFmtId="0" fontId="10" fillId="4" borderId="1" xfId="0" applyFont="1" applyFill="1" applyBorder="1" applyAlignment="1">
      <alignment horizontal="center" vertical="center"/>
    </xf>
    <xf numFmtId="0" fontId="2" fillId="4" borderId="0" xfId="0" applyFont="1" applyFill="1" applyAlignment="1">
      <alignment vertical="center"/>
    </xf>
    <xf numFmtId="0" fontId="4" fillId="4" borderId="0" xfId="0" applyFont="1" applyFill="1" applyAlignment="1">
      <alignment vertical="center"/>
    </xf>
    <xf numFmtId="165" fontId="6" fillId="4" borderId="0" xfId="3" applyFont="1" applyFill="1" applyAlignment="1">
      <alignment vertical="center"/>
    </xf>
    <xf numFmtId="165" fontId="0" fillId="4" borderId="0" xfId="3" applyFont="1" applyFill="1" applyAlignment="1">
      <alignment vertical="center"/>
    </xf>
    <xf numFmtId="165" fontId="0" fillId="4" borderId="0" xfId="3" applyFont="1" applyFill="1" applyBorder="1" applyAlignment="1">
      <alignment vertical="center"/>
    </xf>
    <xf numFmtId="165" fontId="3" fillId="4" borderId="11" xfId="3" applyFont="1" applyFill="1" applyBorder="1" applyAlignment="1">
      <alignment vertical="center"/>
    </xf>
    <xf numFmtId="165" fontId="3" fillId="4" borderId="9" xfId="3" applyFont="1" applyFill="1" applyBorder="1" applyAlignment="1">
      <alignment vertical="center"/>
    </xf>
    <xf numFmtId="165" fontId="0" fillId="4" borderId="9" xfId="3" applyFont="1" applyFill="1" applyBorder="1" applyAlignment="1">
      <alignment vertical="center"/>
    </xf>
    <xf numFmtId="165" fontId="3" fillId="4" borderId="6" xfId="3" applyFont="1" applyFill="1" applyBorder="1" applyAlignment="1">
      <alignment vertical="center"/>
    </xf>
    <xf numFmtId="0" fontId="0" fillId="4" borderId="11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0" fillId="4" borderId="29" xfId="0" applyFill="1" applyBorder="1" applyAlignment="1">
      <alignment vertical="center"/>
    </xf>
    <xf numFmtId="165" fontId="13" fillId="4" borderId="17" xfId="3" applyFont="1" applyFill="1" applyBorder="1" applyAlignment="1">
      <alignment horizontal="center" vertical="center"/>
    </xf>
    <xf numFmtId="165" fontId="6" fillId="4" borderId="2" xfId="3" applyFont="1" applyFill="1" applyBorder="1" applyAlignment="1">
      <alignment horizontal="center" vertical="center"/>
    </xf>
    <xf numFmtId="165" fontId="6" fillId="4" borderId="1" xfId="3" applyFont="1" applyFill="1" applyBorder="1" applyAlignment="1">
      <alignment horizontal="center" vertical="center"/>
    </xf>
    <xf numFmtId="165" fontId="3" fillId="4" borderId="0" xfId="3" applyFont="1" applyFill="1" applyAlignment="1">
      <alignment horizontal="center" vertical="center"/>
    </xf>
    <xf numFmtId="165" fontId="6" fillId="4" borderId="0" xfId="3" applyFont="1" applyFill="1" applyAlignment="1">
      <alignment horizontal="right" vertical="center"/>
    </xf>
    <xf numFmtId="165" fontId="3" fillId="4" borderId="9" xfId="3" applyFont="1" applyFill="1" applyBorder="1" applyAlignment="1">
      <alignment horizontal="center" vertical="center"/>
    </xf>
    <xf numFmtId="0" fontId="6" fillId="4" borderId="1" xfId="0" applyFont="1" applyFill="1" applyBorder="1" applyAlignment="1">
      <alignment vertical="center"/>
    </xf>
    <xf numFmtId="165" fontId="6" fillId="4" borderId="6" xfId="3" applyFont="1" applyFill="1" applyBorder="1" applyAlignment="1">
      <alignment vertical="center"/>
    </xf>
    <xf numFmtId="165" fontId="3" fillId="4" borderId="54" xfId="3" applyFont="1" applyFill="1" applyBorder="1" applyAlignment="1">
      <alignment horizontal="center" vertical="center"/>
    </xf>
    <xf numFmtId="165" fontId="3" fillId="4" borderId="1" xfId="3" applyFont="1" applyFill="1" applyBorder="1" applyAlignment="1">
      <alignment horizontal="center" vertical="center"/>
    </xf>
    <xf numFmtId="167" fontId="6" fillId="4" borderId="2" xfId="3" applyNumberFormat="1" applyFont="1" applyFill="1" applyBorder="1" applyAlignment="1">
      <alignment horizontal="center" vertical="center"/>
    </xf>
    <xf numFmtId="167" fontId="6" fillId="4" borderId="1" xfId="3" applyNumberFormat="1" applyFont="1" applyFill="1" applyBorder="1" applyAlignment="1">
      <alignment horizontal="center" vertical="center"/>
    </xf>
    <xf numFmtId="167" fontId="3" fillId="4" borderId="1" xfId="3" applyNumberFormat="1" applyFont="1" applyFill="1" applyBorder="1" applyAlignment="1">
      <alignment horizontal="center" vertical="center"/>
    </xf>
    <xf numFmtId="165" fontId="3" fillId="4" borderId="0" xfId="3" applyFont="1" applyFill="1" applyBorder="1" applyAlignment="1">
      <alignment vertical="center"/>
    </xf>
    <xf numFmtId="165" fontId="12" fillId="4" borderId="1" xfId="3" applyFont="1" applyFill="1" applyBorder="1" applyAlignment="1">
      <alignment horizontal="center" vertical="center"/>
    </xf>
    <xf numFmtId="165" fontId="1" fillId="4" borderId="1" xfId="3" applyFont="1" applyFill="1" applyBorder="1" applyAlignment="1">
      <alignment horizontal="center" vertical="center"/>
    </xf>
    <xf numFmtId="165" fontId="4" fillId="4" borderId="0" xfId="3" applyFont="1" applyFill="1" applyBorder="1" applyAlignment="1">
      <alignment vertical="center"/>
    </xf>
    <xf numFmtId="165" fontId="3" fillId="4" borderId="35" xfId="3" applyFont="1" applyFill="1" applyBorder="1" applyAlignment="1">
      <alignment vertical="center"/>
    </xf>
    <xf numFmtId="168" fontId="3" fillId="4" borderId="1" xfId="0" applyNumberFormat="1" applyFont="1" applyFill="1" applyBorder="1" applyAlignment="1">
      <alignment vertical="center"/>
    </xf>
    <xf numFmtId="168" fontId="0" fillId="4" borderId="1" xfId="0" applyNumberFormat="1" applyFill="1" applyBorder="1" applyAlignment="1">
      <alignment vertical="center"/>
    </xf>
    <xf numFmtId="168" fontId="3" fillId="4" borderId="36" xfId="0" applyNumberFormat="1" applyFont="1" applyFill="1" applyBorder="1" applyAlignment="1">
      <alignment vertical="center"/>
    </xf>
    <xf numFmtId="164" fontId="3" fillId="4" borderId="34" xfId="0" applyNumberFormat="1" applyFont="1" applyFill="1" applyBorder="1" applyAlignment="1">
      <alignment vertical="center"/>
    </xf>
    <xf numFmtId="165" fontId="3" fillId="4" borderId="13" xfId="3" applyFont="1" applyFill="1" applyBorder="1" applyAlignment="1">
      <alignment horizontal="right" vertical="center"/>
    </xf>
    <xf numFmtId="1" fontId="6" fillId="4" borderId="12" xfId="3" applyNumberFormat="1" applyFont="1" applyFill="1" applyBorder="1" applyAlignment="1">
      <alignment horizontal="center" vertical="center"/>
    </xf>
    <xf numFmtId="1" fontId="6" fillId="4" borderId="20" xfId="3" applyNumberFormat="1" applyFont="1" applyFill="1" applyBorder="1" applyAlignment="1">
      <alignment horizontal="center" vertical="center"/>
    </xf>
    <xf numFmtId="1" fontId="3" fillId="4" borderId="31" xfId="3" applyNumberFormat="1" applyFont="1" applyFill="1" applyBorder="1" applyAlignment="1">
      <alignment horizontal="center" vertical="center"/>
    </xf>
    <xf numFmtId="165" fontId="6" fillId="4" borderId="39" xfId="3" applyFont="1" applyFill="1" applyBorder="1" applyAlignment="1">
      <alignment vertical="center"/>
    </xf>
    <xf numFmtId="166" fontId="6" fillId="4" borderId="0" xfId="3" applyNumberFormat="1" applyFont="1" applyFill="1" applyBorder="1" applyAlignment="1">
      <alignment horizontal="center" vertical="center"/>
    </xf>
    <xf numFmtId="166" fontId="3" fillId="4" borderId="0" xfId="3" applyNumberFormat="1" applyFont="1" applyFill="1" applyBorder="1" applyAlignment="1">
      <alignment horizontal="center" vertical="center"/>
    </xf>
    <xf numFmtId="165" fontId="3" fillId="4" borderId="3" xfId="3" applyFont="1" applyFill="1" applyBorder="1" applyAlignment="1">
      <alignment horizontal="center" vertical="center"/>
    </xf>
    <xf numFmtId="165" fontId="6" fillId="4" borderId="1" xfId="3" applyFont="1" applyFill="1" applyBorder="1" applyAlignment="1">
      <alignment vertical="center"/>
    </xf>
    <xf numFmtId="165" fontId="3" fillId="4" borderId="7" xfId="3" applyFont="1" applyFill="1" applyBorder="1" applyAlignment="1">
      <alignment vertical="center"/>
    </xf>
    <xf numFmtId="165" fontId="6" fillId="4" borderId="7" xfId="3" applyFont="1" applyFill="1" applyBorder="1" applyAlignment="1">
      <alignment vertical="center"/>
    </xf>
    <xf numFmtId="165" fontId="13" fillId="4" borderId="33" xfId="3" applyFont="1" applyFill="1" applyBorder="1" applyAlignment="1">
      <alignment horizontal="center" vertical="center"/>
    </xf>
    <xf numFmtId="165" fontId="0" fillId="4" borderId="39" xfId="3" applyFont="1" applyFill="1" applyBorder="1" applyAlignment="1">
      <alignment vertical="center"/>
    </xf>
    <xf numFmtId="165" fontId="3" fillId="4" borderId="12" xfId="3" applyFont="1" applyFill="1" applyBorder="1" applyAlignment="1">
      <alignment horizontal="center" vertical="center"/>
    </xf>
    <xf numFmtId="10" fontId="3" fillId="4" borderId="15" xfId="2" applyNumberFormat="1" applyFont="1" applyFill="1" applyBorder="1" applyAlignment="1">
      <alignment vertical="center"/>
    </xf>
    <xf numFmtId="10" fontId="0" fillId="4" borderId="15" xfId="2" applyNumberFormat="1" applyFont="1" applyFill="1" applyBorder="1" applyAlignment="1">
      <alignment vertical="center"/>
    </xf>
    <xf numFmtId="10" fontId="6" fillId="4" borderId="15" xfId="2" applyNumberFormat="1" applyFont="1" applyFill="1" applyBorder="1" applyAlignment="1">
      <alignment vertical="center"/>
    </xf>
    <xf numFmtId="9" fontId="3" fillId="4" borderId="18" xfId="2" applyFont="1" applyFill="1" applyBorder="1" applyAlignment="1">
      <alignment vertical="center"/>
    </xf>
    <xf numFmtId="165" fontId="13" fillId="4" borderId="18" xfId="3" applyFont="1" applyFill="1" applyBorder="1" applyAlignment="1">
      <alignment horizontal="center" vertical="center"/>
    </xf>
    <xf numFmtId="165" fontId="3" fillId="4" borderId="7" xfId="3" applyFont="1" applyFill="1" applyBorder="1" applyAlignment="1">
      <alignment horizontal="center" vertical="center"/>
    </xf>
    <xf numFmtId="165" fontId="3" fillId="4" borderId="0" xfId="3" applyFont="1" applyFill="1" applyAlignment="1">
      <alignment vertical="center"/>
    </xf>
    <xf numFmtId="165" fontId="3" fillId="4" borderId="0" xfId="3" applyFont="1" applyFill="1" applyBorder="1" applyAlignment="1">
      <alignment horizontal="center" vertical="center"/>
    </xf>
    <xf numFmtId="165" fontId="3" fillId="4" borderId="4" xfId="3" applyFont="1" applyFill="1" applyBorder="1" applyAlignment="1">
      <alignment vertical="center"/>
    </xf>
    <xf numFmtId="165" fontId="6" fillId="4" borderId="0" xfId="3" applyFont="1" applyFill="1"/>
    <xf numFmtId="165" fontId="3" fillId="4" borderId="4" xfId="3" applyFont="1" applyFill="1" applyBorder="1" applyAlignment="1">
      <alignment horizontal="center" vertical="center"/>
    </xf>
    <xf numFmtId="165" fontId="6" fillId="4" borderId="0" xfId="3" applyFont="1" applyFill="1" applyAlignment="1">
      <alignment horizontal="center" vertical="center"/>
    </xf>
    <xf numFmtId="165" fontId="6" fillId="4" borderId="0" xfId="3" applyFont="1" applyFill="1" applyBorder="1" applyAlignment="1">
      <alignment horizontal="center" vertical="center"/>
    </xf>
    <xf numFmtId="165" fontId="1" fillId="4" borderId="0" xfId="3" applyFont="1" applyFill="1" applyBorder="1" applyAlignment="1">
      <alignment horizontal="center" vertical="center"/>
    </xf>
    <xf numFmtId="2" fontId="6" fillId="4" borderId="1" xfId="0" applyNumberFormat="1" applyFont="1" applyFill="1" applyBorder="1" applyAlignment="1">
      <alignment horizontal="center" vertical="center"/>
    </xf>
    <xf numFmtId="2" fontId="6" fillId="4" borderId="1" xfId="3" applyNumberFormat="1" applyFont="1" applyFill="1" applyBorder="1" applyAlignment="1">
      <alignment horizontal="center" vertical="center"/>
    </xf>
    <xf numFmtId="1" fontId="6" fillId="4" borderId="1" xfId="0" applyNumberFormat="1" applyFont="1" applyFill="1" applyBorder="1" applyAlignment="1">
      <alignment horizontal="center" vertical="center"/>
    </xf>
    <xf numFmtId="166" fontId="6" fillId="4" borderId="1" xfId="3" applyNumberFormat="1" applyFont="1" applyFill="1" applyBorder="1" applyAlignment="1">
      <alignment horizontal="center" vertical="center"/>
    </xf>
    <xf numFmtId="166" fontId="6" fillId="4" borderId="1" xfId="3" applyNumberFormat="1" applyFont="1" applyFill="1" applyBorder="1" applyAlignment="1">
      <alignment vertical="center"/>
    </xf>
    <xf numFmtId="0" fontId="13" fillId="4" borderId="17" xfId="0" applyFont="1" applyFill="1" applyBorder="1" applyAlignment="1">
      <alignment horizontal="center" vertical="center" wrapText="1"/>
    </xf>
    <xf numFmtId="13" fontId="6" fillId="4" borderId="1" xfId="0" applyNumberFormat="1" applyFont="1" applyFill="1" applyBorder="1" applyAlignment="1">
      <alignment horizontal="center" vertical="center"/>
    </xf>
    <xf numFmtId="165" fontId="6" fillId="4" borderId="1" xfId="0" applyNumberFormat="1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4" fontId="6" fillId="4" borderId="2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166" fontId="3" fillId="4" borderId="1" xfId="3" applyNumberFormat="1" applyFont="1" applyFill="1" applyBorder="1" applyAlignment="1">
      <alignment horizontal="center" vertical="center"/>
    </xf>
    <xf numFmtId="3" fontId="6" fillId="4" borderId="1" xfId="0" applyNumberFormat="1" applyFont="1" applyFill="1" applyBorder="1" applyAlignment="1">
      <alignment horizontal="center" vertical="center"/>
    </xf>
    <xf numFmtId="1" fontId="1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5" fontId="1" fillId="0" borderId="0" xfId="3" applyFont="1" applyAlignment="1">
      <alignment vertical="center"/>
    </xf>
    <xf numFmtId="0" fontId="1" fillId="4" borderId="0" xfId="0" applyFont="1" applyFill="1" applyAlignment="1">
      <alignment vertical="center"/>
    </xf>
    <xf numFmtId="165" fontId="1" fillId="4" borderId="0" xfId="3" applyFont="1" applyFill="1" applyAlignment="1">
      <alignment vertical="center"/>
    </xf>
    <xf numFmtId="43" fontId="1" fillId="0" borderId="0" xfId="0" applyNumberFormat="1" applyFont="1" applyAlignment="1">
      <alignment vertical="center"/>
    </xf>
    <xf numFmtId="166" fontId="1" fillId="4" borderId="1" xfId="3" applyNumberFormat="1" applyFont="1" applyFill="1" applyBorder="1" applyAlignment="1">
      <alignment horizontal="center" vertical="center"/>
    </xf>
    <xf numFmtId="165" fontId="1" fillId="4" borderId="2" xfId="3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3" borderId="0" xfId="0" applyFont="1" applyFill="1" applyAlignment="1">
      <alignment vertical="center"/>
    </xf>
    <xf numFmtId="165" fontId="5" fillId="3" borderId="0" xfId="3" applyFont="1" applyFill="1" applyAlignment="1">
      <alignment vertical="center"/>
    </xf>
    <xf numFmtId="165" fontId="6" fillId="3" borderId="0" xfId="3" applyFont="1" applyFill="1" applyAlignment="1">
      <alignment vertical="center"/>
    </xf>
    <xf numFmtId="0" fontId="1" fillId="3" borderId="8" xfId="0" applyFont="1" applyFill="1" applyBorder="1" applyAlignment="1">
      <alignment vertical="center"/>
    </xf>
    <xf numFmtId="0" fontId="6" fillId="3" borderId="9" xfId="0" applyFont="1" applyFill="1" applyBorder="1" applyAlignment="1">
      <alignment vertical="center"/>
    </xf>
    <xf numFmtId="165" fontId="6" fillId="3" borderId="1" xfId="3" applyFont="1" applyFill="1" applyBorder="1" applyAlignment="1">
      <alignment vertical="center"/>
    </xf>
    <xf numFmtId="165" fontId="1" fillId="3" borderId="10" xfId="3" applyFont="1" applyFill="1" applyBorder="1" applyAlignment="1">
      <alignment vertical="center"/>
    </xf>
    <xf numFmtId="0" fontId="6" fillId="3" borderId="0" xfId="0" applyFont="1" applyFill="1" applyAlignment="1">
      <alignment vertical="center"/>
    </xf>
    <xf numFmtId="0" fontId="3" fillId="3" borderId="5" xfId="0" applyFont="1" applyFill="1" applyBorder="1" applyAlignment="1">
      <alignment vertical="center"/>
    </xf>
    <xf numFmtId="0" fontId="3" fillId="3" borderId="6" xfId="0" applyFont="1" applyFill="1" applyBorder="1" applyAlignment="1">
      <alignment vertical="center"/>
    </xf>
    <xf numFmtId="165" fontId="3" fillId="3" borderId="6" xfId="3" applyFont="1" applyFill="1" applyBorder="1" applyAlignment="1">
      <alignment vertical="center"/>
    </xf>
    <xf numFmtId="165" fontId="3" fillId="3" borderId="7" xfId="3" applyFont="1" applyFill="1" applyBorder="1" applyAlignment="1">
      <alignment horizontal="right" vertical="center"/>
    </xf>
    <xf numFmtId="165" fontId="3" fillId="3" borderId="4" xfId="3" applyFont="1" applyFill="1" applyBorder="1" applyAlignment="1">
      <alignment horizontal="right" vertical="center"/>
    </xf>
    <xf numFmtId="0" fontId="3" fillId="3" borderId="0" xfId="0" applyFont="1" applyFill="1" applyAlignment="1">
      <alignment vertical="center"/>
    </xf>
    <xf numFmtId="165" fontId="3" fillId="3" borderId="0" xfId="3" applyFont="1" applyFill="1" applyBorder="1" applyAlignment="1">
      <alignment vertical="center"/>
    </xf>
    <xf numFmtId="165" fontId="4" fillId="3" borderId="0" xfId="3" applyFont="1" applyFill="1" applyAlignment="1">
      <alignment vertical="center"/>
    </xf>
    <xf numFmtId="165" fontId="1" fillId="3" borderId="1" xfId="3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65" fontId="5" fillId="3" borderId="1" xfId="3" applyFont="1" applyFill="1" applyBorder="1" applyAlignment="1">
      <alignment vertical="center"/>
    </xf>
    <xf numFmtId="0" fontId="5" fillId="10" borderId="1" xfId="0" applyFont="1" applyFill="1" applyBorder="1" applyAlignment="1">
      <alignment vertical="center"/>
    </xf>
    <xf numFmtId="0" fontId="6" fillId="3" borderId="1" xfId="0" applyFont="1" applyFill="1" applyBorder="1" applyAlignment="1">
      <alignment vertical="center"/>
    </xf>
    <xf numFmtId="166" fontId="5" fillId="3" borderId="1" xfId="3" applyNumberFormat="1" applyFont="1" applyFill="1" applyBorder="1" applyAlignment="1">
      <alignment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165" fontId="3" fillId="0" borderId="14" xfId="3" applyFont="1" applyBorder="1" applyAlignment="1">
      <alignment horizontal="left" vertical="center"/>
    </xf>
    <xf numFmtId="165" fontId="3" fillId="0" borderId="9" xfId="3" applyFont="1" applyBorder="1" applyAlignment="1">
      <alignment horizontal="left" vertical="center"/>
    </xf>
    <xf numFmtId="0" fontId="15" fillId="7" borderId="25" xfId="0" applyFont="1" applyFill="1" applyBorder="1" applyAlignment="1">
      <alignment horizontal="center" vertical="center"/>
    </xf>
    <xf numFmtId="0" fontId="15" fillId="7" borderId="26" xfId="0" applyFont="1" applyFill="1" applyBorder="1" applyAlignment="1">
      <alignment horizontal="center" vertical="center"/>
    </xf>
    <xf numFmtId="0" fontId="15" fillId="7" borderId="27" xfId="0" applyFont="1" applyFill="1" applyBorder="1" applyAlignment="1">
      <alignment horizontal="center" vertical="center"/>
    </xf>
    <xf numFmtId="0" fontId="7" fillId="7" borderId="42" xfId="0" applyFont="1" applyFill="1" applyBorder="1" applyAlignment="1">
      <alignment horizontal="center" vertical="center"/>
    </xf>
    <xf numFmtId="0" fontId="7" fillId="7" borderId="40" xfId="0" applyFont="1" applyFill="1" applyBorder="1" applyAlignment="1">
      <alignment horizontal="center" vertical="center"/>
    </xf>
    <xf numFmtId="0" fontId="7" fillId="7" borderId="43" xfId="0" applyFont="1" applyFill="1" applyBorder="1" applyAlignment="1">
      <alignment horizontal="center" vertical="center"/>
    </xf>
    <xf numFmtId="165" fontId="3" fillId="0" borderId="5" xfId="3" applyFont="1" applyBorder="1" applyAlignment="1">
      <alignment horizontal="center" vertical="center"/>
    </xf>
    <xf numFmtId="165" fontId="3" fillId="0" borderId="6" xfId="3" applyFont="1" applyBorder="1" applyAlignment="1">
      <alignment horizontal="center" vertical="center"/>
    </xf>
    <xf numFmtId="165" fontId="3" fillId="0" borderId="41" xfId="3" applyFont="1" applyBorder="1" applyAlignment="1">
      <alignment horizontal="center" vertical="center"/>
    </xf>
    <xf numFmtId="165" fontId="4" fillId="7" borderId="5" xfId="3" applyFont="1" applyFill="1" applyBorder="1" applyAlignment="1">
      <alignment horizontal="center" vertical="center"/>
    </xf>
    <xf numFmtId="165" fontId="4" fillId="7" borderId="6" xfId="3" applyFont="1" applyFill="1" applyBorder="1" applyAlignment="1">
      <alignment horizontal="center" vertical="center"/>
    </xf>
    <xf numFmtId="165" fontId="4" fillId="7" borderId="7" xfId="3" applyFont="1" applyFill="1" applyBorder="1" applyAlignment="1">
      <alignment horizontal="center" vertical="center"/>
    </xf>
    <xf numFmtId="0" fontId="15" fillId="7" borderId="21" xfId="0" applyFont="1" applyFill="1" applyBorder="1" applyAlignment="1">
      <alignment horizontal="center" vertical="center"/>
    </xf>
    <xf numFmtId="0" fontId="15" fillId="7" borderId="22" xfId="0" applyFont="1" applyFill="1" applyBorder="1" applyAlignment="1">
      <alignment horizontal="center" vertical="center"/>
    </xf>
    <xf numFmtId="0" fontId="15" fillId="7" borderId="12" xfId="0" applyFont="1" applyFill="1" applyBorder="1" applyAlignment="1">
      <alignment horizontal="center" vertical="center"/>
    </xf>
    <xf numFmtId="0" fontId="15" fillId="9" borderId="19" xfId="0" applyFont="1" applyFill="1" applyBorder="1" applyAlignment="1">
      <alignment horizontal="center"/>
    </xf>
    <xf numFmtId="0" fontId="15" fillId="9" borderId="44" xfId="0" applyFont="1" applyFill="1" applyBorder="1" applyAlignment="1">
      <alignment horizontal="center"/>
    </xf>
    <xf numFmtId="0" fontId="6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5" fillId="0" borderId="1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9" fontId="7" fillId="0" borderId="21" xfId="2" applyFont="1" applyBorder="1" applyAlignment="1">
      <alignment horizontal="center"/>
    </xf>
    <xf numFmtId="9" fontId="7" fillId="0" borderId="22" xfId="2" applyFont="1" applyBorder="1" applyAlignment="1">
      <alignment horizontal="center"/>
    </xf>
    <xf numFmtId="9" fontId="7" fillId="0" borderId="12" xfId="2" applyFont="1" applyBorder="1" applyAlignment="1">
      <alignment horizontal="center"/>
    </xf>
    <xf numFmtId="0" fontId="4" fillId="9" borderId="25" xfId="0" applyFont="1" applyFill="1" applyBorder="1" applyAlignment="1">
      <alignment horizontal="center" vertical="center"/>
    </xf>
    <xf numFmtId="0" fontId="4" fillId="9" borderId="26" xfId="0" applyFont="1" applyFill="1" applyBorder="1" applyAlignment="1">
      <alignment horizontal="center" vertical="center"/>
    </xf>
    <xf numFmtId="0" fontId="4" fillId="9" borderId="27" xfId="0" applyFont="1" applyFill="1" applyBorder="1" applyAlignment="1">
      <alignment horizontal="center" vertical="center"/>
    </xf>
    <xf numFmtId="0" fontId="4" fillId="9" borderId="5" xfId="0" applyFont="1" applyFill="1" applyBorder="1" applyAlignment="1">
      <alignment horizontal="center" vertical="center"/>
    </xf>
    <xf numFmtId="0" fontId="4" fillId="9" borderId="6" xfId="0" applyFont="1" applyFill="1" applyBorder="1" applyAlignment="1">
      <alignment horizontal="center" vertical="center"/>
    </xf>
    <xf numFmtId="0" fontId="15" fillId="9" borderId="21" xfId="0" applyFont="1" applyFill="1" applyBorder="1" applyAlignment="1">
      <alignment horizontal="center"/>
    </xf>
    <xf numFmtId="0" fontId="15" fillId="9" borderId="22" xfId="0" applyFont="1" applyFill="1" applyBorder="1" applyAlignment="1">
      <alignment horizontal="center"/>
    </xf>
    <xf numFmtId="0" fontId="15" fillId="9" borderId="12" xfId="0" applyFont="1" applyFill="1" applyBorder="1" applyAlignment="1">
      <alignment horizontal="center"/>
    </xf>
  </cellXfs>
  <cellStyles count="4">
    <cellStyle name="Hiperlink" xfId="1" builtinId="8"/>
    <cellStyle name="Normal" xfId="0" builtinId="0"/>
    <cellStyle name="Porcentagem" xfId="2" builtinId="5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4</xdr:row>
      <xdr:rowOff>28575</xdr:rowOff>
    </xdr:from>
    <xdr:to>
      <xdr:col>0</xdr:col>
      <xdr:colOff>1419225</xdr:colOff>
      <xdr:row>6</xdr:row>
      <xdr:rowOff>66675</xdr:rowOff>
    </xdr:to>
    <xdr:pic>
      <xdr:nvPicPr>
        <xdr:cNvPr id="6506" name="Picture 2">
          <a:extLst>
            <a:ext uri="{FF2B5EF4-FFF2-40B4-BE49-F238E27FC236}">
              <a16:creationId xmlns:a16="http://schemas.microsoft.com/office/drawing/2014/main" id="{00000000-0008-0000-0500-00006A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419100"/>
          <a:ext cx="128587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7</xdr:row>
      <xdr:rowOff>9525</xdr:rowOff>
    </xdr:from>
    <xdr:to>
      <xdr:col>0</xdr:col>
      <xdr:colOff>2124075</xdr:colOff>
      <xdr:row>9</xdr:row>
      <xdr:rowOff>57150</xdr:rowOff>
    </xdr:to>
    <xdr:pic>
      <xdr:nvPicPr>
        <xdr:cNvPr id="6507" name="Picture 1">
          <a:extLst>
            <a:ext uri="{FF2B5EF4-FFF2-40B4-BE49-F238E27FC236}">
              <a16:creationId xmlns:a16="http://schemas.microsoft.com/office/drawing/2014/main" id="{00000000-0008-0000-0500-00006B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885825"/>
          <a:ext cx="20383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94"/>
  <sheetViews>
    <sheetView tabSelected="1" view="pageBreakPreview" topLeftCell="A546" zoomScaleSheetLayoutView="100" workbookViewId="0">
      <selection activeCell="F553" sqref="F553"/>
    </sheetView>
  </sheetViews>
  <sheetFormatPr defaultColWidth="9.140625" defaultRowHeight="12.75" x14ac:dyDescent="0.2"/>
  <cols>
    <col min="1" max="1" width="44.5703125" style="7" customWidth="1"/>
    <col min="2" max="2" width="16" style="165" bestFit="1" customWidth="1"/>
    <col min="3" max="3" width="13.42578125" style="165" customWidth="1"/>
    <col min="4" max="4" width="14.7109375" style="200" customWidth="1"/>
    <col min="5" max="5" width="15.42578125" style="200" customWidth="1"/>
    <col min="6" max="6" width="13.28515625" style="200" customWidth="1"/>
    <col min="7" max="7" width="28.140625" style="8" customWidth="1"/>
    <col min="8" max="8" width="9.140625" style="7"/>
    <col min="9" max="9" width="14.5703125" style="7" customWidth="1"/>
    <col min="10" max="10" width="13.42578125" style="7" customWidth="1"/>
    <col min="11" max="16384" width="9.140625" style="7"/>
  </cols>
  <sheetData>
    <row r="1" spans="1:7" hidden="1" x14ac:dyDescent="0.2">
      <c r="A1" s="9" t="s">
        <v>211</v>
      </c>
    </row>
    <row r="2" spans="1:7" hidden="1" x14ac:dyDescent="0.2">
      <c r="A2" s="40" t="s">
        <v>248</v>
      </c>
    </row>
    <row r="3" spans="1:7" s="3" customFormat="1" ht="15.6" hidden="1" customHeight="1" x14ac:dyDescent="0.2">
      <c r="A3" s="7" t="s">
        <v>212</v>
      </c>
      <c r="B3" s="166"/>
      <c r="C3" s="167"/>
      <c r="D3" s="167"/>
      <c r="E3" s="167"/>
      <c r="F3" s="167"/>
      <c r="G3" s="4"/>
    </row>
    <row r="4" spans="1:7" s="3" customFormat="1" ht="15.6" hidden="1" customHeight="1" x14ac:dyDescent="0.2">
      <c r="A4" s="40" t="s">
        <v>213</v>
      </c>
      <c r="B4" s="167"/>
      <c r="C4" s="167"/>
      <c r="D4" s="167"/>
      <c r="E4" s="167"/>
      <c r="F4" s="167"/>
      <c r="G4" s="4"/>
    </row>
    <row r="5" spans="1:7" s="3" customFormat="1" ht="15.6" hidden="1" customHeight="1" x14ac:dyDescent="0.2">
      <c r="A5" s="5"/>
      <c r="B5" s="167"/>
      <c r="C5" s="167"/>
      <c r="D5" s="167"/>
      <c r="E5" s="167"/>
      <c r="F5" s="167"/>
      <c r="G5" s="4"/>
    </row>
    <row r="6" spans="1:7" s="3" customFormat="1" ht="15.6" hidden="1" customHeight="1" x14ac:dyDescent="0.2">
      <c r="A6" s="5"/>
      <c r="B6" s="167"/>
      <c r="C6" s="167"/>
      <c r="D6" s="167"/>
      <c r="E6" s="167"/>
      <c r="F6" s="167"/>
      <c r="G6" s="4"/>
    </row>
    <row r="7" spans="1:7" s="3" customFormat="1" ht="9" customHeight="1" thickBot="1" x14ac:dyDescent="0.25">
      <c r="A7" s="5"/>
      <c r="B7" s="167"/>
      <c r="C7" s="167"/>
      <c r="D7" s="201"/>
      <c r="E7" s="201"/>
      <c r="F7" s="201"/>
      <c r="G7" s="4"/>
    </row>
    <row r="8" spans="1:7" s="6" customFormat="1" ht="18" x14ac:dyDescent="0.2">
      <c r="A8" s="310" t="s">
        <v>237</v>
      </c>
      <c r="B8" s="311"/>
      <c r="C8" s="311"/>
      <c r="D8" s="311"/>
      <c r="E8" s="311"/>
      <c r="F8" s="312"/>
      <c r="G8" s="14"/>
    </row>
    <row r="9" spans="1:7" s="6" customFormat="1" ht="21.75" customHeight="1" x14ac:dyDescent="0.2">
      <c r="A9" s="313" t="s">
        <v>44</v>
      </c>
      <c r="B9" s="314"/>
      <c r="C9" s="314"/>
      <c r="D9" s="314"/>
      <c r="E9" s="314"/>
      <c r="F9" s="315"/>
      <c r="G9" s="14"/>
    </row>
    <row r="10" spans="1:7" s="3" customFormat="1" ht="10.9" customHeight="1" thickBot="1" x14ac:dyDescent="0.25">
      <c r="A10" s="44"/>
      <c r="B10" s="167"/>
      <c r="C10" s="167"/>
      <c r="D10" s="202"/>
      <c r="E10" s="202"/>
      <c r="F10" s="244"/>
      <c r="G10" s="4"/>
    </row>
    <row r="11" spans="1:7" s="3" customFormat="1" ht="15.75" customHeight="1" thickBot="1" x14ac:dyDescent="0.25">
      <c r="A11" s="319" t="s">
        <v>210</v>
      </c>
      <c r="B11" s="320"/>
      <c r="C11" s="320"/>
      <c r="D11" s="320"/>
      <c r="E11" s="320"/>
      <c r="F11" s="321"/>
      <c r="G11" s="4"/>
    </row>
    <row r="12" spans="1:7" s="3" customFormat="1" ht="15.75" customHeight="1" x14ac:dyDescent="0.2">
      <c r="A12" s="23" t="s">
        <v>209</v>
      </c>
      <c r="B12" s="168"/>
      <c r="C12" s="168"/>
      <c r="D12" s="203"/>
      <c r="E12" s="227" t="s">
        <v>39</v>
      </c>
      <c r="F12" s="245" t="s">
        <v>2</v>
      </c>
      <c r="G12" s="4"/>
    </row>
    <row r="13" spans="1:7" s="9" customFormat="1" ht="15.75" customHeight="1" x14ac:dyDescent="0.2">
      <c r="A13" s="37" t="str">
        <f>A75</f>
        <v>1. Mão-de-obra</v>
      </c>
      <c r="B13" s="169"/>
      <c r="C13" s="204"/>
      <c r="D13" s="204"/>
      <c r="E13" s="228">
        <f>+F230</f>
        <v>13593.662631200001</v>
      </c>
      <c r="F13" s="246">
        <f t="shared" ref="F13:F40" si="0">IFERROR(E13/$E$52,0)</f>
        <v>0.38610294553017754</v>
      </c>
      <c r="G13" s="17"/>
    </row>
    <row r="14" spans="1:7" s="3" customFormat="1" ht="15.75" customHeight="1" x14ac:dyDescent="0.2">
      <c r="A14" s="18" t="str">
        <f>A77</f>
        <v>1.1. Coletor Turno Dia - SINDIASSEIO 2023</v>
      </c>
      <c r="B14" s="170"/>
      <c r="C14" s="205"/>
      <c r="D14" s="205"/>
      <c r="E14" s="229">
        <f>F88</f>
        <v>8309.7590127999993</v>
      </c>
      <c r="F14" s="247">
        <f t="shared" si="0"/>
        <v>0.23602339697059199</v>
      </c>
      <c r="G14" s="4"/>
    </row>
    <row r="15" spans="1:7" s="3" customFormat="1" ht="15.75" hidden="1" customHeight="1" x14ac:dyDescent="0.2">
      <c r="A15" s="18" t="str">
        <f>A90</f>
        <v>1.2. Coletor Turno Noite</v>
      </c>
      <c r="B15" s="170"/>
      <c r="C15" s="205"/>
      <c r="D15" s="205"/>
      <c r="E15" s="229">
        <f>F107</f>
        <v>0</v>
      </c>
      <c r="F15" s="247">
        <f t="shared" si="0"/>
        <v>0</v>
      </c>
      <c r="G15" s="4"/>
    </row>
    <row r="16" spans="1:7" s="3" customFormat="1" ht="15.75" customHeight="1" x14ac:dyDescent="0.2">
      <c r="A16" s="18" t="str">
        <f>A109</f>
        <v>1.2. Motorista Turno do Dia - CETCERGS-SINECARGA - previsto dissídio de 6%</v>
      </c>
      <c r="B16" s="170"/>
      <c r="C16" s="205"/>
      <c r="D16" s="205"/>
      <c r="E16" s="229">
        <f>F122</f>
        <v>3738.7007384000008</v>
      </c>
      <c r="F16" s="247">
        <f t="shared" si="0"/>
        <v>0.10619090724224196</v>
      </c>
      <c r="G16" s="4"/>
    </row>
    <row r="17" spans="1:7" s="3" customFormat="1" ht="15.75" hidden="1" customHeight="1" x14ac:dyDescent="0.2">
      <c r="A17" s="18" t="str">
        <f>A124</f>
        <v>1.4. Motorista Turno Noite</v>
      </c>
      <c r="B17" s="170"/>
      <c r="C17" s="205"/>
      <c r="D17" s="205"/>
      <c r="E17" s="229">
        <f>F143</f>
        <v>0</v>
      </c>
      <c r="F17" s="247">
        <f t="shared" si="0"/>
        <v>0</v>
      </c>
      <c r="G17" s="4"/>
    </row>
    <row r="18" spans="1:7" s="3" customFormat="1" ht="15.75" customHeight="1" x14ac:dyDescent="0.2">
      <c r="A18" s="18">
        <f>A145</f>
        <v>0</v>
      </c>
      <c r="B18" s="170"/>
      <c r="C18" s="205"/>
      <c r="D18" s="205"/>
      <c r="E18" s="229">
        <f>F158</f>
        <v>0</v>
      </c>
      <c r="F18" s="247">
        <f t="shared" si="0"/>
        <v>0</v>
      </c>
      <c r="G18" s="4"/>
    </row>
    <row r="19" spans="1:7" s="3" customFormat="1" ht="15.75" hidden="1" customHeight="1" x14ac:dyDescent="0.2">
      <c r="A19" s="18" t="str">
        <f>A160</f>
        <v>1.4. Motorista Carreta</v>
      </c>
      <c r="B19" s="170"/>
      <c r="C19" s="205"/>
      <c r="D19" s="205"/>
      <c r="E19" s="229">
        <f>F173</f>
        <v>0</v>
      </c>
      <c r="F19" s="247">
        <f t="shared" si="0"/>
        <v>0</v>
      </c>
      <c r="G19" s="4"/>
    </row>
    <row r="20" spans="1:7" s="3" customFormat="1" ht="15.75" hidden="1" customHeight="1" x14ac:dyDescent="0.2">
      <c r="A20" s="18" t="str">
        <f>A175</f>
        <v>1.7. Responsavel Tecnico</v>
      </c>
      <c r="B20" s="170"/>
      <c r="C20" s="205"/>
      <c r="D20" s="205"/>
      <c r="E20" s="229">
        <f>F188</f>
        <v>0</v>
      </c>
      <c r="F20" s="247">
        <f t="shared" si="0"/>
        <v>0</v>
      </c>
      <c r="G20" s="4"/>
    </row>
    <row r="21" spans="1:7" s="3" customFormat="1" ht="15.75" hidden="1" customHeight="1" x14ac:dyDescent="0.2">
      <c r="A21" s="18" t="str">
        <f>A190</f>
        <v>1.8. Tecnico de Segurança do Trabalho</v>
      </c>
      <c r="B21" s="170"/>
      <c r="C21" s="205"/>
      <c r="D21" s="205"/>
      <c r="E21" s="229">
        <f>F203</f>
        <v>0</v>
      </c>
      <c r="F21" s="247">
        <f t="shared" si="0"/>
        <v>0</v>
      </c>
      <c r="G21" s="4"/>
    </row>
    <row r="22" spans="1:7" s="3" customFormat="1" ht="15.75" customHeight="1" x14ac:dyDescent="0.2">
      <c r="A22" s="18" t="str">
        <f>A206</f>
        <v>1.4. Vale Transporte</v>
      </c>
      <c r="B22" s="170"/>
      <c r="C22" s="205"/>
      <c r="D22" s="205"/>
      <c r="E22" s="229">
        <f>F214</f>
        <v>298.12848000000002</v>
      </c>
      <c r="F22" s="247">
        <f t="shared" si="0"/>
        <v>8.467790278260957E-3</v>
      </c>
      <c r="G22" s="4"/>
    </row>
    <row r="23" spans="1:7" s="3" customFormat="1" ht="15.75" customHeight="1" x14ac:dyDescent="0.2">
      <c r="A23" s="18" t="str">
        <f>A216</f>
        <v>1.5. Vale-refeição (diário)</v>
      </c>
      <c r="B23" s="170"/>
      <c r="C23" s="205"/>
      <c r="D23" s="205"/>
      <c r="E23" s="229">
        <f>F222</f>
        <v>1247.0744</v>
      </c>
      <c r="F23" s="247">
        <f t="shared" si="0"/>
        <v>3.5420851039082595E-2</v>
      </c>
      <c r="G23" s="4"/>
    </row>
    <row r="24" spans="1:7" s="3" customFormat="1" ht="15.75" hidden="1" customHeight="1" x14ac:dyDescent="0.2">
      <c r="A24" s="18" t="str">
        <f>A224</f>
        <v>1.11. Auxílio Alimentação (mensal)</v>
      </c>
      <c r="B24" s="170"/>
      <c r="C24" s="205"/>
      <c r="D24" s="205"/>
      <c r="E24" s="229">
        <f>F228</f>
        <v>0</v>
      </c>
      <c r="F24" s="247">
        <f t="shared" si="0"/>
        <v>0</v>
      </c>
      <c r="G24" s="4"/>
    </row>
    <row r="25" spans="1:7" s="9" customFormat="1" ht="15.75" customHeight="1" x14ac:dyDescent="0.2">
      <c r="A25" s="308" t="str">
        <f>A232</f>
        <v>2. Uniformes e Equipamentos de Proteção Individual</v>
      </c>
      <c r="B25" s="309"/>
      <c r="C25" s="309"/>
      <c r="D25" s="204"/>
      <c r="E25" s="228">
        <f>+F264</f>
        <v>343.64666666666665</v>
      </c>
      <c r="F25" s="246">
        <f t="shared" si="0"/>
        <v>9.7606505193894369E-3</v>
      </c>
      <c r="G25" s="17"/>
    </row>
    <row r="26" spans="1:7" s="9" customFormat="1" ht="15.75" customHeight="1" x14ac:dyDescent="0.2">
      <c r="A26" s="39" t="str">
        <f>A266</f>
        <v>3. Veículos e Equipamentos</v>
      </c>
      <c r="B26" s="171"/>
      <c r="C26" s="204"/>
      <c r="D26" s="204"/>
      <c r="E26" s="228">
        <f>+F496</f>
        <v>16009.109333333336</v>
      </c>
      <c r="F26" s="246">
        <f t="shared" si="0"/>
        <v>0.45470925949918223</v>
      </c>
      <c r="G26" s="17"/>
    </row>
    <row r="27" spans="1:7" s="3" customFormat="1" ht="15.75" customHeight="1" x14ac:dyDescent="0.2">
      <c r="A27" s="24" t="str">
        <f>A268</f>
        <v>3.1. Veículo Coletor Compactador 10 m³</v>
      </c>
      <c r="B27" s="172"/>
      <c r="C27" s="205"/>
      <c r="D27" s="205"/>
      <c r="E27" s="229">
        <f>SUM(E28:E33)</f>
        <v>16009.109333333336</v>
      </c>
      <c r="F27" s="248">
        <f t="shared" si="0"/>
        <v>0.45470925949918223</v>
      </c>
      <c r="G27" s="4"/>
    </row>
    <row r="28" spans="1:7" s="3" customFormat="1" ht="15.75" customHeight="1" x14ac:dyDescent="0.2">
      <c r="A28" s="24" t="str">
        <f>A270</f>
        <v>3.1.1. Depreciação</v>
      </c>
      <c r="B28" s="172"/>
      <c r="C28" s="205"/>
      <c r="D28" s="205"/>
      <c r="E28" s="229">
        <f>F284</f>
        <v>2290.5333333333333</v>
      </c>
      <c r="F28" s="248">
        <f t="shared" si="0"/>
        <v>6.5058379836883284E-2</v>
      </c>
      <c r="G28" s="4"/>
    </row>
    <row r="29" spans="1:7" s="3" customFormat="1" ht="15.75" customHeight="1" x14ac:dyDescent="0.2">
      <c r="A29" s="24" t="str">
        <f>A286</f>
        <v>3.1.2. Remuneração do Capital</v>
      </c>
      <c r="B29" s="172"/>
      <c r="C29" s="205"/>
      <c r="D29" s="205"/>
      <c r="E29" s="229">
        <f>F300</f>
        <v>1956.643333333333</v>
      </c>
      <c r="F29" s="248">
        <f t="shared" si="0"/>
        <v>5.5574849460957601E-2</v>
      </c>
      <c r="G29" s="4"/>
    </row>
    <row r="30" spans="1:7" s="3" customFormat="1" ht="15.75" customHeight="1" x14ac:dyDescent="0.2">
      <c r="A30" s="24" t="str">
        <f>A302</f>
        <v>3.1.3. Impostos e Seguros</v>
      </c>
      <c r="B30" s="172"/>
      <c r="C30" s="205"/>
      <c r="D30" s="205"/>
      <c r="E30" s="229">
        <f>F308</f>
        <v>179.16666666666666</v>
      </c>
      <c r="F30" s="248">
        <f t="shared" si="0"/>
        <v>5.0888991155371042E-3</v>
      </c>
      <c r="G30" s="4"/>
    </row>
    <row r="31" spans="1:7" s="3" customFormat="1" ht="15.75" customHeight="1" x14ac:dyDescent="0.2">
      <c r="A31" s="24" t="str">
        <f>A310</f>
        <v>3.1.4. Consumos</v>
      </c>
      <c r="B31" s="172"/>
      <c r="C31" s="205"/>
      <c r="D31" s="205"/>
      <c r="E31" s="229">
        <f>F326</f>
        <v>9948.6660000000011</v>
      </c>
      <c r="F31" s="248">
        <f t="shared" si="0"/>
        <v>0.28257353083632042</v>
      </c>
      <c r="G31" s="4"/>
    </row>
    <row r="32" spans="1:7" s="3" customFormat="1" ht="15.75" customHeight="1" x14ac:dyDescent="0.2">
      <c r="A32" s="24" t="str">
        <f>A328</f>
        <v>3.1.5. Manutenção</v>
      </c>
      <c r="B32" s="172"/>
      <c r="C32" s="205"/>
      <c r="D32" s="205"/>
      <c r="E32" s="229">
        <f>F331</f>
        <v>780</v>
      </c>
      <c r="F32" s="248">
        <f t="shared" si="0"/>
        <v>2.2154463126245257E-2</v>
      </c>
      <c r="G32" s="4"/>
    </row>
    <row r="33" spans="1:7" s="3" customFormat="1" ht="15.75" customHeight="1" x14ac:dyDescent="0.2">
      <c r="A33" s="24" t="str">
        <f>A333</f>
        <v>3.1.6. Pneus</v>
      </c>
      <c r="B33" s="172"/>
      <c r="C33" s="205"/>
      <c r="D33" s="205"/>
      <c r="E33" s="229">
        <f>F340</f>
        <v>854.1</v>
      </c>
      <c r="F33" s="248">
        <f t="shared" si="0"/>
        <v>2.4259137123238555E-2</v>
      </c>
      <c r="G33" s="4"/>
    </row>
    <row r="34" spans="1:7" s="3" customFormat="1" ht="15.75" hidden="1" customHeight="1" x14ac:dyDescent="0.2">
      <c r="A34" s="24" t="str">
        <f>A347</f>
        <v>3.2. Veículo Caminhao Bau (Coleta Seletiva)</v>
      </c>
      <c r="B34" s="172"/>
      <c r="C34" s="205"/>
      <c r="D34" s="205"/>
      <c r="E34" s="229">
        <f t="shared" ref="E34:E40" si="1">F341</f>
        <v>0</v>
      </c>
      <c r="F34" s="248">
        <f t="shared" si="0"/>
        <v>0</v>
      </c>
      <c r="G34" s="4"/>
    </row>
    <row r="35" spans="1:7" s="3" customFormat="1" ht="15.75" hidden="1" customHeight="1" x14ac:dyDescent="0.2">
      <c r="A35" s="24" t="str">
        <f>A349</f>
        <v>3.2.1. Depreciação</v>
      </c>
      <c r="B35" s="172"/>
      <c r="C35" s="205"/>
      <c r="D35" s="205"/>
      <c r="E35" s="229">
        <f t="shared" si="1"/>
        <v>0</v>
      </c>
      <c r="F35" s="248">
        <f t="shared" si="0"/>
        <v>0</v>
      </c>
      <c r="G35" s="4"/>
    </row>
    <row r="36" spans="1:7" s="3" customFormat="1" ht="15.75" hidden="1" customHeight="1" x14ac:dyDescent="0.2">
      <c r="A36" s="24" t="str">
        <f>A365</f>
        <v>3.2.2. Remuneração do Capital</v>
      </c>
      <c r="B36" s="172"/>
      <c r="C36" s="205"/>
      <c r="D36" s="205"/>
      <c r="E36" s="229" t="str">
        <f t="shared" si="1"/>
        <v>Total (R$)</v>
      </c>
      <c r="F36" s="248">
        <f t="shared" si="0"/>
        <v>0</v>
      </c>
      <c r="G36" s="4"/>
    </row>
    <row r="37" spans="1:7" s="3" customFormat="1" ht="15.75" hidden="1" customHeight="1" x14ac:dyDescent="0.2">
      <c r="A37" s="24" t="str">
        <f>A381</f>
        <v>3.2.3. Impostos e Seguros</v>
      </c>
      <c r="B37" s="172"/>
      <c r="C37" s="205"/>
      <c r="D37" s="205"/>
      <c r="E37" s="229">
        <f t="shared" si="1"/>
        <v>0</v>
      </c>
      <c r="F37" s="248">
        <f t="shared" si="0"/>
        <v>0</v>
      </c>
      <c r="G37" s="4"/>
    </row>
    <row r="38" spans="1:7" s="3" customFormat="1" ht="15.75" hidden="1" customHeight="1" x14ac:dyDescent="0.2">
      <c r="A38" s="24" t="str">
        <f>A389</f>
        <v>3.2.4. Consumos</v>
      </c>
      <c r="B38" s="172"/>
      <c r="C38" s="205"/>
      <c r="D38" s="205"/>
      <c r="E38" s="229">
        <f t="shared" si="1"/>
        <v>0</v>
      </c>
      <c r="F38" s="248">
        <f t="shared" si="0"/>
        <v>0</v>
      </c>
      <c r="G38" s="4"/>
    </row>
    <row r="39" spans="1:7" s="3" customFormat="1" ht="15.75" hidden="1" customHeight="1" x14ac:dyDescent="0.2">
      <c r="A39" s="24" t="str">
        <f>A407</f>
        <v>3.2.5. Manutenção</v>
      </c>
      <c r="B39" s="172"/>
      <c r="C39" s="205"/>
      <c r="D39" s="205"/>
      <c r="E39" s="229">
        <f t="shared" si="1"/>
        <v>0</v>
      </c>
      <c r="F39" s="248">
        <f t="shared" si="0"/>
        <v>0</v>
      </c>
      <c r="G39" s="4"/>
    </row>
    <row r="40" spans="1:7" s="3" customFormat="1" ht="15.75" hidden="1" customHeight="1" x14ac:dyDescent="0.2">
      <c r="A40" s="24" t="str">
        <f>A412</f>
        <v>3.2.6. Pneus</v>
      </c>
      <c r="B40" s="172"/>
      <c r="C40" s="205"/>
      <c r="D40" s="205"/>
      <c r="E40" s="229">
        <f t="shared" si="1"/>
        <v>0</v>
      </c>
      <c r="F40" s="248">
        <f t="shared" si="0"/>
        <v>0</v>
      </c>
      <c r="G40" s="4"/>
    </row>
    <row r="41" spans="1:7" s="3" customFormat="1" ht="15.75" customHeight="1" x14ac:dyDescent="0.2">
      <c r="A41" s="24">
        <f>A342</f>
        <v>0</v>
      </c>
      <c r="B41" s="172"/>
      <c r="C41" s="205"/>
      <c r="D41" s="205"/>
      <c r="E41" s="229">
        <f>F345</f>
        <v>0</v>
      </c>
      <c r="F41" s="248">
        <f t="shared" ref="F41:F47" si="2">IFERROR(E41/$E$52,0)</f>
        <v>0</v>
      </c>
      <c r="G41" s="4"/>
    </row>
    <row r="42" spans="1:7" s="3" customFormat="1" ht="15.75" hidden="1" customHeight="1" x14ac:dyDescent="0.2">
      <c r="A42" s="24" t="str">
        <f>A423</f>
        <v>3.2.1. Depreciação</v>
      </c>
      <c r="B42" s="172"/>
      <c r="C42" s="205"/>
      <c r="D42" s="205"/>
      <c r="E42" s="229">
        <f>F437</f>
        <v>0</v>
      </c>
      <c r="F42" s="248">
        <f t="shared" si="2"/>
        <v>0</v>
      </c>
      <c r="G42" s="4"/>
    </row>
    <row r="43" spans="1:7" s="3" customFormat="1" ht="15.75" hidden="1" customHeight="1" x14ac:dyDescent="0.2">
      <c r="A43" s="24" t="str">
        <f>A439</f>
        <v>3.2.2. Remuneração do Capital</v>
      </c>
      <c r="B43" s="172"/>
      <c r="C43" s="205"/>
      <c r="D43" s="205"/>
      <c r="E43" s="229">
        <f>F453</f>
        <v>0</v>
      </c>
      <c r="F43" s="248">
        <f t="shared" si="2"/>
        <v>0</v>
      </c>
      <c r="G43" s="4"/>
    </row>
    <row r="44" spans="1:7" s="3" customFormat="1" ht="15.75" hidden="1" customHeight="1" x14ac:dyDescent="0.2">
      <c r="A44" s="24" t="str">
        <f>A455</f>
        <v>3.2.3. Impostos e Seguros</v>
      </c>
      <c r="B44" s="172"/>
      <c r="C44" s="205"/>
      <c r="D44" s="205"/>
      <c r="E44" s="229">
        <f>F461</f>
        <v>0</v>
      </c>
      <c r="F44" s="248">
        <f t="shared" si="2"/>
        <v>0</v>
      </c>
      <c r="G44" s="4"/>
    </row>
    <row r="45" spans="1:7" s="3" customFormat="1" ht="15.75" hidden="1" customHeight="1" x14ac:dyDescent="0.2">
      <c r="A45" s="24" t="str">
        <f>A463</f>
        <v>3.2.4. Consumos</v>
      </c>
      <c r="B45" s="172"/>
      <c r="C45" s="205"/>
      <c r="D45" s="205"/>
      <c r="E45" s="229">
        <f>F479</f>
        <v>0</v>
      </c>
      <c r="F45" s="248">
        <f t="shared" si="2"/>
        <v>0</v>
      </c>
      <c r="G45" s="4"/>
    </row>
    <row r="46" spans="1:7" s="3" customFormat="1" ht="15.75" hidden="1" customHeight="1" x14ac:dyDescent="0.2">
      <c r="A46" s="24" t="str">
        <f>A481</f>
        <v>3.2.3.  Locação de Contêiner capacidade 1.000L (um mil litros)</v>
      </c>
      <c r="B46" s="172"/>
      <c r="C46" s="205"/>
      <c r="D46" s="205"/>
      <c r="E46" s="229">
        <f>F484</f>
        <v>0</v>
      </c>
      <c r="F46" s="248">
        <f t="shared" si="2"/>
        <v>0</v>
      </c>
      <c r="G46" s="4"/>
    </row>
    <row r="47" spans="1:7" s="3" customFormat="1" ht="15.75" hidden="1" customHeight="1" x14ac:dyDescent="0.2">
      <c r="A47" s="24" t="str">
        <f>A486</f>
        <v>3.2.6. Pneus</v>
      </c>
      <c r="B47" s="172"/>
      <c r="C47" s="205"/>
      <c r="D47" s="205"/>
      <c r="E47" s="229">
        <f>F493</f>
        <v>0</v>
      </c>
      <c r="F47" s="248">
        <f t="shared" si="2"/>
        <v>0</v>
      </c>
      <c r="G47" s="4"/>
    </row>
    <row r="48" spans="1:7" s="9" customFormat="1" ht="15.75" customHeight="1" x14ac:dyDescent="0.2">
      <c r="A48" s="39" t="str">
        <f>A498</f>
        <v>4. Ferramentas e Materiais de Consumo</v>
      </c>
      <c r="B48" s="171"/>
      <c r="C48" s="204"/>
      <c r="D48" s="204"/>
      <c r="E48" s="228">
        <f>+F508</f>
        <v>173.99999999999997</v>
      </c>
      <c r="F48" s="246">
        <f>IFERROR(E48/$E$52,0)</f>
        <v>4.9421494666239407E-3</v>
      </c>
      <c r="G48" s="17"/>
    </row>
    <row r="49" spans="1:7" s="9" customFormat="1" ht="15.75" customHeight="1" x14ac:dyDescent="0.2">
      <c r="A49" s="39" t="str">
        <f>A510</f>
        <v>5. Monitoramento da Frota</v>
      </c>
      <c r="B49" s="171"/>
      <c r="C49" s="204"/>
      <c r="D49" s="204"/>
      <c r="E49" s="228">
        <f>+F519</f>
        <v>140</v>
      </c>
      <c r="F49" s="246">
        <f>IFERROR(E49/$E$52,0)</f>
        <v>3.9764420995824822E-3</v>
      </c>
      <c r="G49" s="17"/>
    </row>
    <row r="50" spans="1:7" s="9" customFormat="1" ht="15.75" customHeight="1" x14ac:dyDescent="0.2">
      <c r="A50" s="39" t="str">
        <f>A521</f>
        <v>6. Administração Local</v>
      </c>
      <c r="B50" s="171"/>
      <c r="C50" s="204"/>
      <c r="D50" s="204"/>
      <c r="E50" s="228">
        <f>+F530</f>
        <v>124.8</v>
      </c>
      <c r="F50" s="246">
        <f>IFERROR(E50/$E$52,0)</f>
        <v>3.5447141001992409E-3</v>
      </c>
      <c r="G50" s="17"/>
    </row>
    <row r="51" spans="1:7" s="9" customFormat="1" ht="15.75" customHeight="1" thickBot="1" x14ac:dyDescent="0.25">
      <c r="A51" s="39" t="str">
        <f>A544</f>
        <v>7. Benefícios e Despesas Indiretas - BDI</v>
      </c>
      <c r="B51" s="171"/>
      <c r="C51" s="204"/>
      <c r="D51" s="204"/>
      <c r="E51" s="230">
        <f>+F550</f>
        <v>4822.1341967714407</v>
      </c>
      <c r="F51" s="246">
        <f>IFERROR(E51/$E$52,0)</f>
        <v>0.13696383878484508</v>
      </c>
      <c r="G51" s="17"/>
    </row>
    <row r="52" spans="1:7" s="3" customFormat="1" ht="15.75" customHeight="1" thickBot="1" x14ac:dyDescent="0.25">
      <c r="A52" s="16" t="s">
        <v>258</v>
      </c>
      <c r="B52" s="173"/>
      <c r="C52" s="206"/>
      <c r="D52" s="206"/>
      <c r="E52" s="231">
        <f>E13+E25+E26+E48+E49+E51+E50</f>
        <v>35207.352827971445</v>
      </c>
      <c r="F52" s="249">
        <f>F13+F25+F26+F48+F49+F51+F50</f>
        <v>1</v>
      </c>
      <c r="G52" s="4"/>
    </row>
    <row r="53" spans="1:7" ht="13.5" thickBot="1" x14ac:dyDescent="0.25"/>
    <row r="54" spans="1:7" ht="13.5" hidden="1" thickBot="1" x14ac:dyDescent="0.25"/>
    <row r="55" spans="1:7" s="3" customFormat="1" ht="15" customHeight="1" thickBot="1" x14ac:dyDescent="0.25">
      <c r="A55" s="319" t="s">
        <v>101</v>
      </c>
      <c r="B55" s="320"/>
      <c r="C55" s="320"/>
      <c r="D55" s="320"/>
      <c r="E55" s="321"/>
      <c r="F55" s="200"/>
      <c r="G55" s="4"/>
    </row>
    <row r="56" spans="1:7" s="3" customFormat="1" ht="15" customHeight="1" thickBot="1" x14ac:dyDescent="0.25">
      <c r="A56" s="316" t="s">
        <v>40</v>
      </c>
      <c r="B56" s="317"/>
      <c r="C56" s="317"/>
      <c r="D56" s="318"/>
      <c r="E56" s="232" t="s">
        <v>41</v>
      </c>
      <c r="F56" s="200"/>
      <c r="G56" s="4"/>
    </row>
    <row r="57" spans="1:7" s="3" customFormat="1" ht="15" customHeight="1" x14ac:dyDescent="0.2">
      <c r="A57" s="27" t="str">
        <f>+A77</f>
        <v>1.1. Coletor Turno Dia - SINDIASSEIO 2023</v>
      </c>
      <c r="B57" s="174"/>
      <c r="C57" s="174"/>
      <c r="D57" s="207"/>
      <c r="E57" s="233">
        <f>C87</f>
        <v>2</v>
      </c>
      <c r="F57" s="200"/>
      <c r="G57" s="4"/>
    </row>
    <row r="58" spans="1:7" s="3" customFormat="1" ht="15" hidden="1" customHeight="1" x14ac:dyDescent="0.2">
      <c r="A58" s="25" t="str">
        <f>+A90</f>
        <v>1.2. Coletor Turno Noite</v>
      </c>
      <c r="B58" s="175"/>
      <c r="C58" s="175"/>
      <c r="D58" s="208"/>
      <c r="E58" s="234">
        <f>C106</f>
        <v>0</v>
      </c>
      <c r="F58" s="200"/>
      <c r="G58" s="4"/>
    </row>
    <row r="59" spans="1:7" s="3" customFormat="1" ht="15" customHeight="1" x14ac:dyDescent="0.2">
      <c r="A59" s="25" t="str">
        <f>+A109</f>
        <v>1.2. Motorista Turno do Dia - CETCERGS-SINECARGA - previsto dissídio de 6%</v>
      </c>
      <c r="B59" s="175"/>
      <c r="C59" s="175"/>
      <c r="D59" s="208"/>
      <c r="E59" s="234">
        <f>C121</f>
        <v>1</v>
      </c>
      <c r="F59" s="200"/>
      <c r="G59" s="4"/>
    </row>
    <row r="60" spans="1:7" s="3" customFormat="1" ht="15" hidden="1" customHeight="1" x14ac:dyDescent="0.2">
      <c r="A60" s="25" t="str">
        <f>+A124</f>
        <v>1.4. Motorista Turno Noite</v>
      </c>
      <c r="B60" s="175"/>
      <c r="C60" s="175"/>
      <c r="D60" s="208"/>
      <c r="E60" s="234">
        <f>C142</f>
        <v>0</v>
      </c>
      <c r="F60" s="200"/>
      <c r="G60" s="4"/>
    </row>
    <row r="61" spans="1:7" s="3" customFormat="1" ht="15" customHeight="1" x14ac:dyDescent="0.2">
      <c r="A61" s="25">
        <f>+A145</f>
        <v>0</v>
      </c>
      <c r="B61" s="175"/>
      <c r="C61" s="175"/>
      <c r="D61" s="208"/>
      <c r="E61" s="234">
        <f>C157</f>
        <v>0</v>
      </c>
      <c r="F61" s="200"/>
      <c r="G61" s="4"/>
    </row>
    <row r="62" spans="1:7" s="3" customFormat="1" ht="15" hidden="1" customHeight="1" x14ac:dyDescent="0.2">
      <c r="A62" s="25" t="str">
        <f>+A160</f>
        <v>1.4. Motorista Carreta</v>
      </c>
      <c r="B62" s="175"/>
      <c r="C62" s="175"/>
      <c r="D62" s="208"/>
      <c r="E62" s="234">
        <f>C172</f>
        <v>0</v>
      </c>
      <c r="F62" s="200"/>
      <c r="G62" s="4"/>
    </row>
    <row r="63" spans="1:7" s="3" customFormat="1" ht="15" hidden="1" customHeight="1" x14ac:dyDescent="0.2">
      <c r="A63" s="25" t="str">
        <f>+A175</f>
        <v>1.7. Responsavel Tecnico</v>
      </c>
      <c r="B63" s="175"/>
      <c r="C63" s="175"/>
      <c r="D63" s="208"/>
      <c r="E63" s="234">
        <f>C187</f>
        <v>0</v>
      </c>
      <c r="F63" s="200"/>
      <c r="G63" s="4"/>
    </row>
    <row r="64" spans="1:7" s="3" customFormat="1" ht="15" hidden="1" customHeight="1" x14ac:dyDescent="0.2">
      <c r="A64" s="25" t="str">
        <f>+A190</f>
        <v>1.8. Tecnico de Segurança do Trabalho</v>
      </c>
      <c r="B64" s="175"/>
      <c r="C64" s="175"/>
      <c r="D64" s="208"/>
      <c r="E64" s="234">
        <f>C202</f>
        <v>0</v>
      </c>
      <c r="F64" s="200"/>
      <c r="G64" s="4"/>
    </row>
    <row r="65" spans="1:7" s="3" customFormat="1" ht="15" customHeight="1" thickBot="1" x14ac:dyDescent="0.25">
      <c r="A65" s="26" t="s">
        <v>60</v>
      </c>
      <c r="B65" s="176"/>
      <c r="C65" s="176"/>
      <c r="D65" s="209"/>
      <c r="E65" s="235">
        <f>SUM(E57:E64)</f>
        <v>3</v>
      </c>
      <c r="F65" s="200"/>
      <c r="G65" s="4"/>
    </row>
    <row r="66" spans="1:7" s="3" customFormat="1" ht="15" customHeight="1" thickBot="1" x14ac:dyDescent="0.25">
      <c r="A66" s="38"/>
      <c r="B66" s="177"/>
      <c r="C66" s="178"/>
      <c r="D66" s="178"/>
      <c r="E66" s="236"/>
      <c r="F66" s="200"/>
      <c r="G66" s="4"/>
    </row>
    <row r="67" spans="1:7" s="3" customFormat="1" ht="15" customHeight="1" x14ac:dyDescent="0.2">
      <c r="A67" s="306" t="s">
        <v>57</v>
      </c>
      <c r="B67" s="307"/>
      <c r="C67" s="307"/>
      <c r="D67" s="307"/>
      <c r="E67" s="232" t="s">
        <v>41</v>
      </c>
      <c r="F67" s="165"/>
      <c r="G67" s="4"/>
    </row>
    <row r="68" spans="1:7" s="3" customFormat="1" ht="15" customHeight="1" x14ac:dyDescent="0.2">
      <c r="A68" s="25" t="str">
        <f>+A268</f>
        <v>3.1. Veículo Coletor Compactador 10 m³</v>
      </c>
      <c r="B68" s="175"/>
      <c r="C68" s="175"/>
      <c r="D68" s="208"/>
      <c r="E68" s="234">
        <f>C283</f>
        <v>1</v>
      </c>
      <c r="F68" s="165"/>
      <c r="G68" s="4"/>
    </row>
    <row r="69" spans="1:7" s="3" customFormat="1" ht="15" hidden="1" customHeight="1" x14ac:dyDescent="0.2">
      <c r="A69" s="25" t="str">
        <f>+A347</f>
        <v>3.2. Veículo Caminhao Bau (Coleta Seletiva)</v>
      </c>
      <c r="B69" s="175"/>
      <c r="C69" s="175"/>
      <c r="D69" s="208"/>
      <c r="E69" s="234">
        <f>C362</f>
        <v>0</v>
      </c>
      <c r="F69" s="165"/>
      <c r="G69" s="4"/>
    </row>
    <row r="70" spans="1:7" s="3" customFormat="1" ht="15" hidden="1" customHeight="1" x14ac:dyDescent="0.2">
      <c r="A70" s="25" t="str">
        <f>+A421</f>
        <v>3.2. Locação de Contêiner capacidade 1.000L (um mil litros)</v>
      </c>
      <c r="B70" s="175"/>
      <c r="C70" s="175"/>
      <c r="D70" s="208"/>
      <c r="E70" s="234">
        <f>C436</f>
        <v>0</v>
      </c>
      <c r="F70" s="165"/>
      <c r="G70" s="4"/>
    </row>
    <row r="71" spans="1:7" s="3" customFormat="1" ht="15" customHeight="1" thickBot="1" x14ac:dyDescent="0.25">
      <c r="A71" s="26" t="s">
        <v>318</v>
      </c>
      <c r="B71" s="176"/>
      <c r="C71" s="176"/>
      <c r="D71" s="209"/>
      <c r="E71" s="235">
        <f>SUM(E68:E70)</f>
        <v>1</v>
      </c>
      <c r="F71" s="165"/>
      <c r="G71" s="4"/>
    </row>
    <row r="72" spans="1:7" s="3" customFormat="1" ht="13.5" thickBot="1" x14ac:dyDescent="0.25">
      <c r="A72" s="21"/>
      <c r="B72" s="178"/>
      <c r="C72" s="178"/>
      <c r="D72" s="165"/>
      <c r="E72" s="237"/>
      <c r="F72" s="165"/>
      <c r="G72" s="4"/>
    </row>
    <row r="73" spans="1:7" s="9" customFormat="1" ht="15.75" customHeight="1" thickBot="1" x14ac:dyDescent="0.25">
      <c r="A73" s="134" t="s">
        <v>204</v>
      </c>
      <c r="B73" s="179">
        <v>1</v>
      </c>
      <c r="C73" s="223"/>
      <c r="D73" s="196"/>
      <c r="E73" s="238"/>
      <c r="F73" s="196"/>
      <c r="G73" s="17"/>
    </row>
    <row r="74" spans="1:7" s="3" customFormat="1" ht="15.75" customHeight="1" x14ac:dyDescent="0.2">
      <c r="A74" s="21"/>
      <c r="B74" s="178"/>
      <c r="C74" s="178"/>
      <c r="D74" s="165"/>
      <c r="E74" s="237"/>
      <c r="F74" s="165"/>
      <c r="G74" s="4"/>
    </row>
    <row r="75" spans="1:7" ht="13.15" customHeight="1" x14ac:dyDescent="0.2">
      <c r="A75" s="9" t="s">
        <v>48</v>
      </c>
    </row>
    <row r="76" spans="1:7" ht="11.25" customHeight="1" x14ac:dyDescent="0.2"/>
    <row r="77" spans="1:7" ht="13.9" customHeight="1" thickBot="1" x14ac:dyDescent="0.25">
      <c r="A77" s="5" t="s">
        <v>356</v>
      </c>
    </row>
    <row r="78" spans="1:7" ht="13.9" customHeight="1" thickBot="1" x14ac:dyDescent="0.25">
      <c r="A78" s="22" t="s">
        <v>65</v>
      </c>
      <c r="B78" s="180" t="s">
        <v>66</v>
      </c>
      <c r="C78" s="180" t="s">
        <v>41</v>
      </c>
      <c r="D78" s="210" t="s">
        <v>254</v>
      </c>
      <c r="E78" s="210" t="s">
        <v>67</v>
      </c>
      <c r="F78" s="250" t="s">
        <v>68</v>
      </c>
    </row>
    <row r="79" spans="1:7" ht="13.15" customHeight="1" x14ac:dyDescent="0.2">
      <c r="A79" s="11" t="s">
        <v>227</v>
      </c>
      <c r="B79" s="181" t="s">
        <v>8</v>
      </c>
      <c r="C79" s="181">
        <v>1</v>
      </c>
      <c r="D79" s="211">
        <v>1687.48</v>
      </c>
      <c r="E79" s="211">
        <f>C79*D79</f>
        <v>1687.48</v>
      </c>
    </row>
    <row r="80" spans="1:7" x14ac:dyDescent="0.2">
      <c r="A80" s="12" t="s">
        <v>35</v>
      </c>
      <c r="B80" s="182" t="s">
        <v>0</v>
      </c>
      <c r="C80" s="260">
        <v>0</v>
      </c>
      <c r="D80" s="212">
        <f>D79/220*2</f>
        <v>15.340727272727273</v>
      </c>
      <c r="E80" s="212">
        <f>C80*D80</f>
        <v>0</v>
      </c>
      <c r="G80" s="8" t="s">
        <v>270</v>
      </c>
    </row>
    <row r="81" spans="1:7" ht="13.15" customHeight="1" x14ac:dyDescent="0.2">
      <c r="A81" s="12" t="s">
        <v>36</v>
      </c>
      <c r="B81" s="182" t="s">
        <v>0</v>
      </c>
      <c r="C81" s="260">
        <v>0</v>
      </c>
      <c r="D81" s="212">
        <f>D79/220*1.5</f>
        <v>11.505545454545455</v>
      </c>
      <c r="E81" s="212">
        <f>C81*D81</f>
        <v>0</v>
      </c>
      <c r="G81" s="8" t="s">
        <v>272</v>
      </c>
    </row>
    <row r="82" spans="1:7" ht="13.15" customHeight="1" x14ac:dyDescent="0.2">
      <c r="A82" s="12" t="s">
        <v>234</v>
      </c>
      <c r="B82" s="182" t="s">
        <v>34</v>
      </c>
      <c r="D82" s="212">
        <f>63/302*(SUM(E80:E81))</f>
        <v>0</v>
      </c>
      <c r="E82" s="212">
        <f>D82</f>
        <v>0</v>
      </c>
      <c r="G82" s="8" t="s">
        <v>233</v>
      </c>
    </row>
    <row r="83" spans="1:7" x14ac:dyDescent="0.2">
      <c r="A83" s="12" t="s">
        <v>1</v>
      </c>
      <c r="B83" s="182" t="s">
        <v>2</v>
      </c>
      <c r="C83" s="182">
        <v>40</v>
      </c>
      <c r="D83" s="212">
        <f>SUM(E79:E82)</f>
        <v>1687.48</v>
      </c>
      <c r="E83" s="212">
        <f>C83*D83/100</f>
        <v>674.99199999999996</v>
      </c>
    </row>
    <row r="84" spans="1:7" x14ac:dyDescent="0.2">
      <c r="A84" s="35" t="s">
        <v>3</v>
      </c>
      <c r="B84" s="183"/>
      <c r="C84" s="183"/>
      <c r="D84" s="213"/>
      <c r="E84" s="239">
        <f>SUM(E79:E83)</f>
        <v>2362.4719999999998</v>
      </c>
    </row>
    <row r="85" spans="1:7" x14ac:dyDescent="0.2">
      <c r="A85" s="12" t="s">
        <v>4</v>
      </c>
      <c r="B85" s="182" t="s">
        <v>2</v>
      </c>
      <c r="C85" s="212">
        <f>'2.Encargos Sociais'!$C$34*100</f>
        <v>75.87</v>
      </c>
      <c r="D85" s="212">
        <f>E84</f>
        <v>2362.4719999999998</v>
      </c>
      <c r="E85" s="212">
        <f>D85*C85/100</f>
        <v>1792.4075063999999</v>
      </c>
    </row>
    <row r="86" spans="1:7" x14ac:dyDescent="0.2">
      <c r="A86" s="35" t="s">
        <v>75</v>
      </c>
      <c r="B86" s="183"/>
      <c r="C86" s="183"/>
      <c r="D86" s="213"/>
      <c r="E86" s="239">
        <f>E84+E85</f>
        <v>4154.8795063999996</v>
      </c>
    </row>
    <row r="87" spans="1:7" ht="13.5" thickBot="1" x14ac:dyDescent="0.25">
      <c r="A87" s="12" t="s">
        <v>5</v>
      </c>
      <c r="B87" s="182" t="s">
        <v>6</v>
      </c>
      <c r="C87" s="182">
        <v>2</v>
      </c>
      <c r="D87" s="212">
        <f>E86</f>
        <v>4154.8795063999996</v>
      </c>
      <c r="E87" s="212">
        <f>C87*D87</f>
        <v>8309.7590127999993</v>
      </c>
      <c r="G87" s="4"/>
    </row>
    <row r="88" spans="1:7" ht="13.9" customHeight="1" thickBot="1" x14ac:dyDescent="0.25">
      <c r="D88" s="214" t="s">
        <v>203</v>
      </c>
      <c r="E88" s="240">
        <f>$B$73</f>
        <v>1</v>
      </c>
      <c r="F88" s="251">
        <f>E87*E88</f>
        <v>8309.7590127999993</v>
      </c>
      <c r="G88" s="4"/>
    </row>
    <row r="89" spans="1:7" ht="11.25" customHeight="1" x14ac:dyDescent="0.2"/>
    <row r="90" spans="1:7" ht="13.5" hidden="1" thickBot="1" x14ac:dyDescent="0.25">
      <c r="A90" s="7" t="s">
        <v>93</v>
      </c>
    </row>
    <row r="91" spans="1:7" ht="13.5" hidden="1" thickBot="1" x14ac:dyDescent="0.25">
      <c r="A91" s="22" t="s">
        <v>65</v>
      </c>
      <c r="B91" s="180" t="s">
        <v>66</v>
      </c>
      <c r="C91" s="180" t="s">
        <v>41</v>
      </c>
      <c r="D91" s="210" t="s">
        <v>254</v>
      </c>
      <c r="E91" s="210" t="s">
        <v>67</v>
      </c>
      <c r="F91" s="250" t="s">
        <v>68</v>
      </c>
    </row>
    <row r="92" spans="1:7" hidden="1" x14ac:dyDescent="0.2">
      <c r="A92" s="11" t="s">
        <v>227</v>
      </c>
      <c r="B92" s="181" t="s">
        <v>8</v>
      </c>
      <c r="C92" s="181">
        <v>1</v>
      </c>
      <c r="D92" s="211">
        <f>D79</f>
        <v>1687.48</v>
      </c>
      <c r="E92" s="211">
        <f>C92*D92</f>
        <v>1687.48</v>
      </c>
    </row>
    <row r="93" spans="1:7" hidden="1" x14ac:dyDescent="0.2">
      <c r="A93" s="12" t="s">
        <v>7</v>
      </c>
      <c r="B93" s="182" t="s">
        <v>102</v>
      </c>
      <c r="C93" s="260">
        <v>50</v>
      </c>
      <c r="D93" s="212"/>
      <c r="E93" s="212"/>
    </row>
    <row r="94" spans="1:7" hidden="1" x14ac:dyDescent="0.2">
      <c r="A94" s="12"/>
      <c r="B94" s="182" t="s">
        <v>105</v>
      </c>
      <c r="C94" s="261">
        <f>C93*8/7</f>
        <v>57.142857142857146</v>
      </c>
      <c r="D94" s="212">
        <f>D92/220*0.2</f>
        <v>1.5340727272727275</v>
      </c>
      <c r="E94" s="212">
        <f>C93*D94</f>
        <v>76.703636363636377</v>
      </c>
    </row>
    <row r="95" spans="1:7" hidden="1" x14ac:dyDescent="0.2">
      <c r="A95" s="12" t="s">
        <v>35</v>
      </c>
      <c r="B95" s="182" t="s">
        <v>0</v>
      </c>
      <c r="C95" s="260"/>
      <c r="D95" s="212">
        <f>D92/220*2</f>
        <v>15.340727272727273</v>
      </c>
      <c r="E95" s="212">
        <f>C95*D95</f>
        <v>0</v>
      </c>
      <c r="G95" s="8" t="s">
        <v>270</v>
      </c>
    </row>
    <row r="96" spans="1:7" hidden="1" x14ac:dyDescent="0.2">
      <c r="A96" s="12" t="s">
        <v>103</v>
      </c>
      <c r="B96" s="182" t="s">
        <v>102</v>
      </c>
      <c r="C96" s="260"/>
      <c r="D96" s="212"/>
      <c r="E96" s="212"/>
      <c r="G96" s="8" t="s">
        <v>271</v>
      </c>
    </row>
    <row r="97" spans="1:7" hidden="1" x14ac:dyDescent="0.2">
      <c r="A97" s="12"/>
      <c r="B97" s="182" t="s">
        <v>105</v>
      </c>
      <c r="C97" s="261">
        <f>C96*8/7</f>
        <v>0</v>
      </c>
      <c r="D97" s="212">
        <f>D92/220*2*1.2</f>
        <v>18.408872727272726</v>
      </c>
      <c r="E97" s="212">
        <f>C97*D97</f>
        <v>0</v>
      </c>
      <c r="G97" s="8" t="s">
        <v>271</v>
      </c>
    </row>
    <row r="98" spans="1:7" hidden="1" x14ac:dyDescent="0.2">
      <c r="A98" s="12" t="s">
        <v>36</v>
      </c>
      <c r="B98" s="182" t="s">
        <v>0</v>
      </c>
      <c r="C98" s="260"/>
      <c r="D98" s="212">
        <f>D92/220*1.5</f>
        <v>11.505545454545455</v>
      </c>
      <c r="E98" s="212">
        <f>C98*D98</f>
        <v>0</v>
      </c>
      <c r="G98" s="8" t="s">
        <v>272</v>
      </c>
    </row>
    <row r="99" spans="1:7" hidden="1" x14ac:dyDescent="0.2">
      <c r="A99" s="12" t="s">
        <v>232</v>
      </c>
      <c r="B99" s="182" t="s">
        <v>102</v>
      </c>
      <c r="C99" s="260"/>
      <c r="D99" s="212"/>
      <c r="E99" s="212"/>
      <c r="G99" s="8" t="s">
        <v>273</v>
      </c>
    </row>
    <row r="100" spans="1:7" hidden="1" x14ac:dyDescent="0.2">
      <c r="A100" s="12"/>
      <c r="B100" s="182" t="s">
        <v>105</v>
      </c>
      <c r="C100" s="212">
        <f>C99*8/7</f>
        <v>0</v>
      </c>
      <c r="D100" s="212">
        <f>D92/220*1.5*1.2</f>
        <v>13.806654545454546</v>
      </c>
      <c r="E100" s="212">
        <f>C100*D100</f>
        <v>0</v>
      </c>
      <c r="G100" s="8" t="s">
        <v>273</v>
      </c>
    </row>
    <row r="101" spans="1:7" ht="13.15" hidden="1" customHeight="1" x14ac:dyDescent="0.2">
      <c r="A101" s="12" t="s">
        <v>234</v>
      </c>
      <c r="B101" s="182" t="s">
        <v>34</v>
      </c>
      <c r="D101" s="212">
        <f>63/302*(SUM(E95:E100))</f>
        <v>0</v>
      </c>
      <c r="E101" s="212">
        <f>D101</f>
        <v>0</v>
      </c>
      <c r="G101" s="8" t="s">
        <v>233</v>
      </c>
    </row>
    <row r="102" spans="1:7" hidden="1" x14ac:dyDescent="0.2">
      <c r="A102" s="12" t="s">
        <v>1</v>
      </c>
      <c r="B102" s="182" t="s">
        <v>2</v>
      </c>
      <c r="C102" s="182">
        <f>+C83</f>
        <v>40</v>
      </c>
      <c r="D102" s="212">
        <f>SUM(E92:E101)</f>
        <v>1764.1836363636364</v>
      </c>
      <c r="E102" s="212">
        <f>C102*D102/100</f>
        <v>705.67345454545455</v>
      </c>
    </row>
    <row r="103" spans="1:7" hidden="1" x14ac:dyDescent="0.2">
      <c r="A103" s="35" t="s">
        <v>3</v>
      </c>
      <c r="B103" s="183"/>
      <c r="C103" s="183"/>
      <c r="D103" s="213"/>
      <c r="E103" s="239">
        <f>SUM(E92:E102)</f>
        <v>2469.8570909090909</v>
      </c>
    </row>
    <row r="104" spans="1:7" hidden="1" x14ac:dyDescent="0.2">
      <c r="A104" s="12" t="s">
        <v>4</v>
      </c>
      <c r="B104" s="182" t="s">
        <v>2</v>
      </c>
      <c r="C104" s="212">
        <f>'2.Encargos Sociais'!$C$34*100</f>
        <v>75.87</v>
      </c>
      <c r="D104" s="212">
        <f>E103</f>
        <v>2469.8570909090909</v>
      </c>
      <c r="E104" s="212">
        <f>D104*C104/100</f>
        <v>1873.8805748727275</v>
      </c>
    </row>
    <row r="105" spans="1:7" hidden="1" x14ac:dyDescent="0.2">
      <c r="A105" s="35" t="s">
        <v>75</v>
      </c>
      <c r="B105" s="183"/>
      <c r="C105" s="183"/>
      <c r="D105" s="213"/>
      <c r="E105" s="239">
        <f>E103+E104</f>
        <v>4343.7376657818186</v>
      </c>
    </row>
    <row r="106" spans="1:7" ht="13.5" hidden="1" thickBot="1" x14ac:dyDescent="0.25">
      <c r="A106" s="12" t="s">
        <v>5</v>
      </c>
      <c r="B106" s="182" t="s">
        <v>6</v>
      </c>
      <c r="C106" s="182"/>
      <c r="D106" s="212">
        <f>E105</f>
        <v>4343.7376657818186</v>
      </c>
      <c r="E106" s="212">
        <f>C106*D106</f>
        <v>0</v>
      </c>
    </row>
    <row r="107" spans="1:7" ht="13.5" hidden="1" thickBot="1" x14ac:dyDescent="0.25">
      <c r="D107" s="214" t="s">
        <v>203</v>
      </c>
      <c r="E107" s="240">
        <f>$B$73</f>
        <v>1</v>
      </c>
      <c r="F107" s="251">
        <f>E106*E107</f>
        <v>0</v>
      </c>
    </row>
    <row r="108" spans="1:7" ht="11.25" hidden="1" customHeight="1" x14ac:dyDescent="0.2"/>
    <row r="109" spans="1:7" ht="13.5" thickBot="1" x14ac:dyDescent="0.25">
      <c r="A109" s="5" t="s">
        <v>355</v>
      </c>
    </row>
    <row r="110" spans="1:7" s="10" customFormat="1" ht="13.15" customHeight="1" thickBot="1" x14ac:dyDescent="0.25">
      <c r="A110" s="22" t="s">
        <v>65</v>
      </c>
      <c r="B110" s="180" t="s">
        <v>66</v>
      </c>
      <c r="C110" s="180" t="s">
        <v>41</v>
      </c>
      <c r="D110" s="210" t="s">
        <v>254</v>
      </c>
      <c r="E110" s="210" t="s">
        <v>67</v>
      </c>
      <c r="F110" s="250" t="s">
        <v>68</v>
      </c>
      <c r="G110" s="8"/>
    </row>
    <row r="111" spans="1:7" x14ac:dyDescent="0.2">
      <c r="A111" s="11" t="s">
        <v>230</v>
      </c>
      <c r="B111" s="181" t="s">
        <v>8</v>
      </c>
      <c r="C111" s="181">
        <v>1</v>
      </c>
      <c r="D111" s="211">
        <f>1817.2*1.06</f>
        <v>1926.2320000000002</v>
      </c>
      <c r="E111" s="211">
        <f>C111*D111</f>
        <v>1926.2320000000002</v>
      </c>
    </row>
    <row r="112" spans="1:7" x14ac:dyDescent="0.2">
      <c r="A112" s="11" t="s">
        <v>231</v>
      </c>
      <c r="B112" s="181" t="s">
        <v>8</v>
      </c>
      <c r="C112" s="181">
        <v>1</v>
      </c>
      <c r="D112" s="211">
        <v>998</v>
      </c>
      <c r="E112" s="211"/>
    </row>
    <row r="113" spans="1:7" x14ac:dyDescent="0.2">
      <c r="A113" s="12" t="s">
        <v>35</v>
      </c>
      <c r="B113" s="182" t="s">
        <v>0</v>
      </c>
      <c r="C113" s="260">
        <v>0</v>
      </c>
      <c r="D113" s="212">
        <f>D111/220*2</f>
        <v>17.511200000000002</v>
      </c>
      <c r="E113" s="212">
        <f>C113*D113</f>
        <v>0</v>
      </c>
      <c r="G113" s="8" t="s">
        <v>270</v>
      </c>
    </row>
    <row r="114" spans="1:7" x14ac:dyDescent="0.2">
      <c r="A114" s="12" t="s">
        <v>36</v>
      </c>
      <c r="B114" s="182" t="s">
        <v>0</v>
      </c>
      <c r="C114" s="260">
        <v>0</v>
      </c>
      <c r="D114" s="212">
        <f>D111/220*1.5</f>
        <v>13.133400000000002</v>
      </c>
      <c r="E114" s="212">
        <f>C114*D114</f>
        <v>0</v>
      </c>
      <c r="G114" s="8" t="s">
        <v>272</v>
      </c>
    </row>
    <row r="115" spans="1:7" ht="13.15" customHeight="1" x14ac:dyDescent="0.2">
      <c r="A115" s="12" t="s">
        <v>234</v>
      </c>
      <c r="B115" s="182" t="s">
        <v>34</v>
      </c>
      <c r="D115" s="212">
        <f>63/302*(SUM(E113:E114))</f>
        <v>0</v>
      </c>
      <c r="E115" s="212">
        <f>D115</f>
        <v>0</v>
      </c>
      <c r="G115" s="8" t="s">
        <v>233</v>
      </c>
    </row>
    <row r="116" spans="1:7" x14ac:dyDescent="0.2">
      <c r="A116" s="12" t="s">
        <v>229</v>
      </c>
      <c r="B116" s="182"/>
      <c r="C116" s="262">
        <v>1</v>
      </c>
      <c r="D116" s="212"/>
      <c r="E116" s="212"/>
    </row>
    <row r="117" spans="1:7" x14ac:dyDescent="0.2">
      <c r="A117" s="12" t="s">
        <v>1</v>
      </c>
      <c r="B117" s="182" t="s">
        <v>2</v>
      </c>
      <c r="C117" s="182">
        <v>20</v>
      </c>
      <c r="D117" s="212">
        <f>IF(C116=2,SUM(E111:E115),IF(C116=1,(SUM(E111:E115))*D112/D111,0))</f>
        <v>998.00000000000011</v>
      </c>
      <c r="E117" s="212">
        <f>C117*D117/100</f>
        <v>199.60000000000002</v>
      </c>
    </row>
    <row r="118" spans="1:7" s="9" customFormat="1" x14ac:dyDescent="0.2">
      <c r="A118" s="30" t="s">
        <v>3</v>
      </c>
      <c r="B118" s="183"/>
      <c r="C118" s="183"/>
      <c r="D118" s="213"/>
      <c r="E118" s="219">
        <f>SUM(E111:E117)</f>
        <v>2125.8320000000003</v>
      </c>
      <c r="F118" s="252"/>
      <c r="G118" s="17"/>
    </row>
    <row r="119" spans="1:7" x14ac:dyDescent="0.2">
      <c r="A119" s="12" t="s">
        <v>4</v>
      </c>
      <c r="B119" s="182" t="s">
        <v>2</v>
      </c>
      <c r="C119" s="212">
        <f>'2.Encargos Sociais'!$C$34*100</f>
        <v>75.87</v>
      </c>
      <c r="D119" s="212">
        <f>E118</f>
        <v>2125.8320000000003</v>
      </c>
      <c r="E119" s="212">
        <f>D119*C119/100</f>
        <v>1612.8687384000004</v>
      </c>
    </row>
    <row r="120" spans="1:7" s="9" customFormat="1" x14ac:dyDescent="0.2">
      <c r="A120" s="30" t="s">
        <v>274</v>
      </c>
      <c r="B120" s="184"/>
      <c r="C120" s="184"/>
      <c r="D120" s="215"/>
      <c r="E120" s="219">
        <f>E118+E119</f>
        <v>3738.7007384000008</v>
      </c>
      <c r="F120" s="252"/>
      <c r="G120" s="17"/>
    </row>
    <row r="121" spans="1:7" ht="13.5" thickBot="1" x14ac:dyDescent="0.25">
      <c r="A121" s="12" t="s">
        <v>5</v>
      </c>
      <c r="B121" s="182" t="s">
        <v>6</v>
      </c>
      <c r="C121" s="182">
        <v>1</v>
      </c>
      <c r="D121" s="212">
        <f>E120</f>
        <v>3738.7007384000008</v>
      </c>
      <c r="E121" s="212">
        <f>C121*D121</f>
        <v>3738.7007384000008</v>
      </c>
    </row>
    <row r="122" spans="1:7" ht="13.5" thickBot="1" x14ac:dyDescent="0.25">
      <c r="D122" s="214" t="s">
        <v>203</v>
      </c>
      <c r="E122" s="240">
        <f>$B$73</f>
        <v>1</v>
      </c>
      <c r="F122" s="251">
        <f>E121*E122</f>
        <v>3738.7007384000008</v>
      </c>
    </row>
    <row r="123" spans="1:7" ht="11.25" customHeight="1" x14ac:dyDescent="0.2"/>
    <row r="124" spans="1:7" ht="13.5" hidden="1" thickBot="1" x14ac:dyDescent="0.25">
      <c r="A124" s="7" t="s">
        <v>104</v>
      </c>
    </row>
    <row r="125" spans="1:7" ht="13.5" hidden="1" thickBot="1" x14ac:dyDescent="0.25">
      <c r="A125" s="22" t="s">
        <v>65</v>
      </c>
      <c r="B125" s="180" t="s">
        <v>66</v>
      </c>
      <c r="C125" s="180" t="s">
        <v>41</v>
      </c>
      <c r="D125" s="210" t="s">
        <v>254</v>
      </c>
      <c r="E125" s="210" t="s">
        <v>67</v>
      </c>
      <c r="F125" s="250" t="s">
        <v>68</v>
      </c>
    </row>
    <row r="126" spans="1:7" hidden="1" x14ac:dyDescent="0.2">
      <c r="A126" s="11" t="s">
        <v>227</v>
      </c>
      <c r="B126" s="181" t="s">
        <v>8</v>
      </c>
      <c r="C126" s="181">
        <v>1</v>
      </c>
      <c r="D126" s="211">
        <f>D111</f>
        <v>1926.2320000000002</v>
      </c>
      <c r="E126" s="211">
        <f>C126*D126</f>
        <v>1926.2320000000002</v>
      </c>
    </row>
    <row r="127" spans="1:7" hidden="1" x14ac:dyDescent="0.2">
      <c r="A127" s="11" t="s">
        <v>228</v>
      </c>
      <c r="B127" s="181" t="s">
        <v>8</v>
      </c>
      <c r="C127" s="181">
        <v>1</v>
      </c>
      <c r="D127" s="212">
        <f>D112</f>
        <v>998</v>
      </c>
      <c r="E127" s="212"/>
    </row>
    <row r="128" spans="1:7" hidden="1" x14ac:dyDescent="0.2">
      <c r="A128" s="12" t="s">
        <v>7</v>
      </c>
      <c r="B128" s="182" t="s">
        <v>102</v>
      </c>
      <c r="C128" s="260">
        <v>50</v>
      </c>
      <c r="D128" s="216"/>
      <c r="E128" s="216"/>
    </row>
    <row r="129" spans="1:7" hidden="1" x14ac:dyDescent="0.2">
      <c r="A129" s="12"/>
      <c r="B129" s="182" t="s">
        <v>105</v>
      </c>
      <c r="C129" s="212">
        <f>C128*8/7</f>
        <v>57.142857142857146</v>
      </c>
      <c r="D129" s="212">
        <f>D126/220*0.2</f>
        <v>1.7511200000000002</v>
      </c>
      <c r="E129" s="212">
        <f>C128*D129</f>
        <v>87.556000000000012</v>
      </c>
    </row>
    <row r="130" spans="1:7" hidden="1" x14ac:dyDescent="0.2">
      <c r="A130" s="12" t="s">
        <v>35</v>
      </c>
      <c r="B130" s="182" t="s">
        <v>0</v>
      </c>
      <c r="C130" s="260"/>
      <c r="D130" s="212">
        <f>D126/220*2</f>
        <v>17.511200000000002</v>
      </c>
      <c r="E130" s="212">
        <f>C130*D130</f>
        <v>0</v>
      </c>
      <c r="G130" s="8" t="s">
        <v>270</v>
      </c>
    </row>
    <row r="131" spans="1:7" hidden="1" x14ac:dyDescent="0.2">
      <c r="A131" s="12" t="s">
        <v>103</v>
      </c>
      <c r="B131" s="182" t="s">
        <v>102</v>
      </c>
      <c r="C131" s="260"/>
      <c r="D131" s="212"/>
      <c r="E131" s="212"/>
      <c r="G131" s="8" t="s">
        <v>271</v>
      </c>
    </row>
    <row r="132" spans="1:7" hidden="1" x14ac:dyDescent="0.2">
      <c r="A132" s="12"/>
      <c r="B132" s="182" t="s">
        <v>105</v>
      </c>
      <c r="C132" s="212">
        <f>C131*8/7</f>
        <v>0</v>
      </c>
      <c r="D132" s="212">
        <f>D126/220*2*1.2</f>
        <v>21.013440000000003</v>
      </c>
      <c r="E132" s="212">
        <f>C132*D132</f>
        <v>0</v>
      </c>
      <c r="G132" s="8" t="s">
        <v>271</v>
      </c>
    </row>
    <row r="133" spans="1:7" hidden="1" x14ac:dyDescent="0.2">
      <c r="A133" s="12" t="s">
        <v>36</v>
      </c>
      <c r="B133" s="182" t="s">
        <v>0</v>
      </c>
      <c r="C133" s="260"/>
      <c r="D133" s="212">
        <f>D126/220*1.5</f>
        <v>13.133400000000002</v>
      </c>
      <c r="E133" s="212">
        <f>C133*D133</f>
        <v>0</v>
      </c>
      <c r="G133" s="8" t="s">
        <v>272</v>
      </c>
    </row>
    <row r="134" spans="1:7" hidden="1" x14ac:dyDescent="0.2">
      <c r="A134" s="12" t="s">
        <v>232</v>
      </c>
      <c r="B134" s="182" t="s">
        <v>102</v>
      </c>
      <c r="C134" s="260"/>
      <c r="D134" s="212"/>
      <c r="E134" s="212"/>
      <c r="G134" s="8" t="s">
        <v>273</v>
      </c>
    </row>
    <row r="135" spans="1:7" hidden="1" x14ac:dyDescent="0.2">
      <c r="A135" s="12"/>
      <c r="B135" s="182" t="s">
        <v>105</v>
      </c>
      <c r="C135" s="212">
        <f>C134*8/7</f>
        <v>0</v>
      </c>
      <c r="D135" s="212">
        <f>D126/220*1.5*1.2</f>
        <v>15.760080000000002</v>
      </c>
      <c r="E135" s="212">
        <f>C135*D135</f>
        <v>0</v>
      </c>
      <c r="G135" s="8" t="s">
        <v>273</v>
      </c>
    </row>
    <row r="136" spans="1:7" ht="13.15" hidden="1" customHeight="1" x14ac:dyDescent="0.2">
      <c r="A136" s="12" t="s">
        <v>234</v>
      </c>
      <c r="B136" s="182" t="s">
        <v>34</v>
      </c>
      <c r="D136" s="212">
        <f>63/302*(SUM(E130:E135))</f>
        <v>0</v>
      </c>
      <c r="E136" s="212">
        <f>D136</f>
        <v>0</v>
      </c>
      <c r="G136" s="8" t="s">
        <v>233</v>
      </c>
    </row>
    <row r="137" spans="1:7" hidden="1" x14ac:dyDescent="0.2">
      <c r="A137" s="12" t="s">
        <v>229</v>
      </c>
      <c r="B137" s="182"/>
      <c r="C137" s="262">
        <v>1</v>
      </c>
      <c r="D137" s="212"/>
      <c r="E137" s="212"/>
    </row>
    <row r="138" spans="1:7" hidden="1" x14ac:dyDescent="0.2">
      <c r="A138" s="12" t="s">
        <v>1</v>
      </c>
      <c r="B138" s="182" t="s">
        <v>2</v>
      </c>
      <c r="C138" s="212">
        <f>+C117</f>
        <v>20</v>
      </c>
      <c r="D138" s="212">
        <f>IF(C137=2,SUM(E126:E136),IF(C137=1,SUM(E126:E136)*D127/D126,0))</f>
        <v>1043.3636363636365</v>
      </c>
      <c r="E138" s="212">
        <f>C138*D138/100</f>
        <v>208.67272727272729</v>
      </c>
    </row>
    <row r="139" spans="1:7" s="9" customFormat="1" hidden="1" x14ac:dyDescent="0.2">
      <c r="A139" s="35" t="s">
        <v>3</v>
      </c>
      <c r="B139" s="183"/>
      <c r="C139" s="183"/>
      <c r="D139" s="213"/>
      <c r="E139" s="239">
        <f>SUM(E126:E138)</f>
        <v>2222.4607272727276</v>
      </c>
      <c r="F139" s="252"/>
      <c r="G139" s="17"/>
    </row>
    <row r="140" spans="1:7" hidden="1" x14ac:dyDescent="0.2">
      <c r="A140" s="12" t="s">
        <v>4</v>
      </c>
      <c r="B140" s="182" t="s">
        <v>2</v>
      </c>
      <c r="C140" s="212">
        <f>'2.Encargos Sociais'!$C$34*100</f>
        <v>75.87</v>
      </c>
      <c r="D140" s="212">
        <f>E139</f>
        <v>2222.4607272727276</v>
      </c>
      <c r="E140" s="212">
        <f>D140*C140/100</f>
        <v>1686.1809537818183</v>
      </c>
    </row>
    <row r="141" spans="1:7" s="9" customFormat="1" hidden="1" x14ac:dyDescent="0.2">
      <c r="A141" s="35" t="s">
        <v>274</v>
      </c>
      <c r="B141" s="183"/>
      <c r="C141" s="183"/>
      <c r="D141" s="213"/>
      <c r="E141" s="239">
        <f>E139+E140</f>
        <v>3908.6416810545461</v>
      </c>
      <c r="F141" s="252"/>
      <c r="G141" s="17"/>
    </row>
    <row r="142" spans="1:7" ht="13.5" hidden="1" thickBot="1" x14ac:dyDescent="0.25">
      <c r="A142" s="12" t="s">
        <v>5</v>
      </c>
      <c r="B142" s="182" t="s">
        <v>6</v>
      </c>
      <c r="C142" s="182"/>
      <c r="D142" s="212">
        <f>E141</f>
        <v>3908.6416810545461</v>
      </c>
      <c r="E142" s="212">
        <f>C142*D142</f>
        <v>0</v>
      </c>
    </row>
    <row r="143" spans="1:7" ht="13.5" hidden="1" thickBot="1" x14ac:dyDescent="0.25">
      <c r="D143" s="214" t="s">
        <v>203</v>
      </c>
      <c r="E143" s="240">
        <f>$B$73</f>
        <v>1</v>
      </c>
      <c r="F143" s="251">
        <f>E142*E143</f>
        <v>0</v>
      </c>
    </row>
    <row r="144" spans="1:7" hidden="1" x14ac:dyDescent="0.2">
      <c r="D144" s="214"/>
      <c r="E144" s="178"/>
      <c r="F144" s="253"/>
    </row>
    <row r="145" spans="1:6" ht="13.5" thickBot="1" x14ac:dyDescent="0.25">
      <c r="A145" s="5"/>
    </row>
    <row r="146" spans="1:6" ht="13.5" thickBot="1" x14ac:dyDescent="0.25">
      <c r="A146" s="22" t="s">
        <v>65</v>
      </c>
      <c r="B146" s="180" t="s">
        <v>66</v>
      </c>
      <c r="C146" s="180" t="s">
        <v>41</v>
      </c>
      <c r="D146" s="210" t="s">
        <v>254</v>
      </c>
      <c r="E146" s="210" t="s">
        <v>67</v>
      </c>
      <c r="F146" s="250" t="s">
        <v>68</v>
      </c>
    </row>
    <row r="147" spans="1:6" x14ac:dyDescent="0.2">
      <c r="A147" s="11" t="s">
        <v>230</v>
      </c>
      <c r="B147" s="181" t="s">
        <v>8</v>
      </c>
      <c r="C147" s="181">
        <v>0</v>
      </c>
      <c r="D147" s="211">
        <v>0</v>
      </c>
      <c r="E147" s="211">
        <f>C147*D147</f>
        <v>0</v>
      </c>
    </row>
    <row r="148" spans="1:6" hidden="1" x14ac:dyDescent="0.2">
      <c r="A148" s="11" t="s">
        <v>231</v>
      </c>
      <c r="B148" s="181" t="s">
        <v>8</v>
      </c>
      <c r="C148" s="181">
        <v>1</v>
      </c>
      <c r="D148" s="211"/>
      <c r="E148" s="211"/>
    </row>
    <row r="149" spans="1:6" hidden="1" x14ac:dyDescent="0.2">
      <c r="A149" s="12" t="s">
        <v>35</v>
      </c>
      <c r="B149" s="182" t="s">
        <v>0</v>
      </c>
      <c r="C149" s="260"/>
      <c r="D149" s="212">
        <f>D147/220*2</f>
        <v>0</v>
      </c>
      <c r="E149" s="212">
        <f>C149*D149</f>
        <v>0</v>
      </c>
    </row>
    <row r="150" spans="1:6" hidden="1" x14ac:dyDescent="0.2">
      <c r="A150" s="12" t="s">
        <v>36</v>
      </c>
      <c r="B150" s="182" t="s">
        <v>0</v>
      </c>
      <c r="C150" s="260"/>
      <c r="D150" s="212">
        <f>D147/220*1.5</f>
        <v>0</v>
      </c>
      <c r="E150" s="212">
        <f>C150*D150</f>
        <v>0</v>
      </c>
    </row>
    <row r="151" spans="1:6" hidden="1" x14ac:dyDescent="0.2">
      <c r="A151" s="12" t="s">
        <v>234</v>
      </c>
      <c r="B151" s="182" t="s">
        <v>34</v>
      </c>
      <c r="D151" s="212">
        <f>63/302*(SUM(E149:E150))</f>
        <v>0</v>
      </c>
      <c r="E151" s="212">
        <f>D151</f>
        <v>0</v>
      </c>
    </row>
    <row r="152" spans="1:6" hidden="1" x14ac:dyDescent="0.2">
      <c r="A152" s="12" t="s">
        <v>229</v>
      </c>
      <c r="B152" s="182"/>
      <c r="C152" s="262">
        <v>1</v>
      </c>
      <c r="D152" s="212"/>
      <c r="E152" s="212"/>
    </row>
    <row r="153" spans="1:6" hidden="1" x14ac:dyDescent="0.2">
      <c r="A153" s="12" t="s">
        <v>1</v>
      </c>
      <c r="B153" s="182" t="s">
        <v>2</v>
      </c>
      <c r="C153" s="182">
        <v>20</v>
      </c>
      <c r="D153" s="212" t="e">
        <f>IF(C152=2,SUM(E147:E151),IF(C152=1,(SUM(E147:E151))*D148/D147,0))</f>
        <v>#DIV/0!</v>
      </c>
      <c r="E153" s="212" t="e">
        <f>C153*D153/100</f>
        <v>#DIV/0!</v>
      </c>
    </row>
    <row r="154" spans="1:6" x14ac:dyDescent="0.2">
      <c r="A154" s="30" t="s">
        <v>3</v>
      </c>
      <c r="B154" s="183"/>
      <c r="C154" s="183"/>
      <c r="D154" s="213"/>
      <c r="E154" s="219" t="e">
        <f>SUM(E147:E153)</f>
        <v>#DIV/0!</v>
      </c>
      <c r="F154" s="252"/>
    </row>
    <row r="155" spans="1:6" x14ac:dyDescent="0.2">
      <c r="A155" s="12" t="s">
        <v>4</v>
      </c>
      <c r="B155" s="182" t="s">
        <v>2</v>
      </c>
      <c r="C155" s="212">
        <f>'2.Encargos Sociais'!$C$34*100</f>
        <v>75.87</v>
      </c>
      <c r="D155" s="212" t="e">
        <f>E154</f>
        <v>#DIV/0!</v>
      </c>
      <c r="E155" s="212" t="e">
        <f>D155*C155/100</f>
        <v>#DIV/0!</v>
      </c>
    </row>
    <row r="156" spans="1:6" x14ac:dyDescent="0.2">
      <c r="A156" s="30" t="s">
        <v>274</v>
      </c>
      <c r="B156" s="184"/>
      <c r="C156" s="184"/>
      <c r="D156" s="215"/>
      <c r="E156" s="219" t="e">
        <f>E154+E155</f>
        <v>#DIV/0!</v>
      </c>
      <c r="F156" s="252"/>
    </row>
    <row r="157" spans="1:6" ht="13.5" thickBot="1" x14ac:dyDescent="0.25">
      <c r="A157" s="12" t="s">
        <v>5</v>
      </c>
      <c r="B157" s="182" t="s">
        <v>6</v>
      </c>
      <c r="C157" s="182">
        <v>0</v>
      </c>
      <c r="D157" s="212" t="e">
        <f>E156</f>
        <v>#DIV/0!</v>
      </c>
      <c r="E157" s="212" t="e">
        <f>C157*D157</f>
        <v>#DIV/0!</v>
      </c>
    </row>
    <row r="158" spans="1:6" ht="13.5" thickBot="1" x14ac:dyDescent="0.25">
      <c r="D158" s="214" t="s">
        <v>203</v>
      </c>
      <c r="E158" s="240">
        <v>0.2</v>
      </c>
      <c r="F158" s="251"/>
    </row>
    <row r="159" spans="1:6" x14ac:dyDescent="0.2">
      <c r="D159" s="214"/>
      <c r="E159" s="178"/>
      <c r="F159" s="253"/>
    </row>
    <row r="160" spans="1:6" ht="13.5" hidden="1" thickBot="1" x14ac:dyDescent="0.25">
      <c r="A160" s="5" t="s">
        <v>338</v>
      </c>
    </row>
    <row r="161" spans="1:6" ht="13.5" hidden="1" thickBot="1" x14ac:dyDescent="0.25">
      <c r="A161" s="22" t="s">
        <v>65</v>
      </c>
      <c r="B161" s="180" t="s">
        <v>66</v>
      </c>
      <c r="C161" s="180" t="s">
        <v>41</v>
      </c>
      <c r="D161" s="210" t="s">
        <v>254</v>
      </c>
      <c r="E161" s="210" t="s">
        <v>67</v>
      </c>
      <c r="F161" s="250" t="s">
        <v>68</v>
      </c>
    </row>
    <row r="162" spans="1:6" hidden="1" x14ac:dyDescent="0.2">
      <c r="A162" s="11" t="s">
        <v>230</v>
      </c>
      <c r="B162" s="181" t="s">
        <v>8</v>
      </c>
      <c r="C162" s="181">
        <v>1</v>
      </c>
      <c r="D162" s="211">
        <v>1797.4</v>
      </c>
      <c r="E162" s="211">
        <f>C162*D162</f>
        <v>1797.4</v>
      </c>
    </row>
    <row r="163" spans="1:6" hidden="1" x14ac:dyDescent="0.2">
      <c r="A163" s="11" t="s">
        <v>231</v>
      </c>
      <c r="B163" s="181" t="s">
        <v>8</v>
      </c>
      <c r="C163" s="181">
        <v>1</v>
      </c>
      <c r="D163" s="211">
        <v>954</v>
      </c>
      <c r="E163" s="211"/>
    </row>
    <row r="164" spans="1:6" hidden="1" x14ac:dyDescent="0.2">
      <c r="A164" s="12" t="s">
        <v>35</v>
      </c>
      <c r="B164" s="182" t="s">
        <v>0</v>
      </c>
      <c r="C164" s="260"/>
      <c r="D164" s="212">
        <f>D162/220*2</f>
        <v>16.34</v>
      </c>
      <c r="E164" s="212">
        <f>C164*D164</f>
        <v>0</v>
      </c>
    </row>
    <row r="165" spans="1:6" hidden="1" x14ac:dyDescent="0.2">
      <c r="A165" s="12" t="s">
        <v>36</v>
      </c>
      <c r="B165" s="182" t="s">
        <v>0</v>
      </c>
      <c r="C165" s="260"/>
      <c r="D165" s="212">
        <f>D162/220*1.5</f>
        <v>12.254999999999999</v>
      </c>
      <c r="E165" s="212">
        <f>C165*D165</f>
        <v>0</v>
      </c>
    </row>
    <row r="166" spans="1:6" hidden="1" x14ac:dyDescent="0.2">
      <c r="A166" s="12" t="s">
        <v>234</v>
      </c>
      <c r="B166" s="182" t="s">
        <v>34</v>
      </c>
      <c r="D166" s="212">
        <f>63/302*(SUM(E164:E165))</f>
        <v>0</v>
      </c>
      <c r="E166" s="212">
        <f>D166</f>
        <v>0</v>
      </c>
    </row>
    <row r="167" spans="1:6" hidden="1" x14ac:dyDescent="0.2">
      <c r="A167" s="12" t="s">
        <v>229</v>
      </c>
      <c r="B167" s="182"/>
      <c r="C167" s="262">
        <v>1</v>
      </c>
      <c r="D167" s="212"/>
      <c r="E167" s="212"/>
    </row>
    <row r="168" spans="1:6" hidden="1" x14ac:dyDescent="0.2">
      <c r="A168" s="12" t="s">
        <v>1</v>
      </c>
      <c r="B168" s="182" t="s">
        <v>2</v>
      </c>
      <c r="C168" s="182">
        <v>20</v>
      </c>
      <c r="D168" s="212">
        <f>IF(C167=2,SUM(E162:E166),IF(C167=1,(SUM(E162:E166))*D163/D162,0))</f>
        <v>954</v>
      </c>
      <c r="E168" s="212">
        <f>C168*D168/100</f>
        <v>190.8</v>
      </c>
    </row>
    <row r="169" spans="1:6" hidden="1" x14ac:dyDescent="0.2">
      <c r="A169" s="30" t="s">
        <v>3</v>
      </c>
      <c r="B169" s="183"/>
      <c r="C169" s="183"/>
      <c r="D169" s="213"/>
      <c r="E169" s="219">
        <f>SUM(E162:E168)</f>
        <v>1988.2</v>
      </c>
      <c r="F169" s="252"/>
    </row>
    <row r="170" spans="1:6" hidden="1" x14ac:dyDescent="0.2">
      <c r="A170" s="12" t="s">
        <v>4</v>
      </c>
      <c r="B170" s="182" t="s">
        <v>2</v>
      </c>
      <c r="C170" s="212">
        <f>'2.Encargos Sociais'!$C$34*100</f>
        <v>75.87</v>
      </c>
      <c r="D170" s="212">
        <f>E169</f>
        <v>1988.2</v>
      </c>
      <c r="E170" s="212">
        <f>D170*C170/100</f>
        <v>1508.4473400000002</v>
      </c>
    </row>
    <row r="171" spans="1:6" hidden="1" x14ac:dyDescent="0.2">
      <c r="A171" s="30" t="s">
        <v>274</v>
      </c>
      <c r="B171" s="184"/>
      <c r="C171" s="184"/>
      <c r="D171" s="215"/>
      <c r="E171" s="219">
        <f>E169+E170</f>
        <v>3496.6473400000004</v>
      </c>
      <c r="F171" s="252"/>
    </row>
    <row r="172" spans="1:6" ht="13.5" hidden="1" thickBot="1" x14ac:dyDescent="0.25">
      <c r="A172" s="12" t="s">
        <v>5</v>
      </c>
      <c r="B172" s="182" t="s">
        <v>6</v>
      </c>
      <c r="C172" s="182"/>
      <c r="D172" s="212">
        <f>E171</f>
        <v>3496.6473400000004</v>
      </c>
      <c r="E172" s="212">
        <f>C172*D172</f>
        <v>0</v>
      </c>
    </row>
    <row r="173" spans="1:6" ht="13.5" hidden="1" thickBot="1" x14ac:dyDescent="0.25">
      <c r="D173" s="214" t="s">
        <v>203</v>
      </c>
      <c r="E173" s="240">
        <v>0.5</v>
      </c>
      <c r="F173" s="251">
        <f>E172*E173</f>
        <v>0</v>
      </c>
    </row>
    <row r="174" spans="1:6" hidden="1" x14ac:dyDescent="0.2">
      <c r="D174" s="214"/>
      <c r="E174" s="178"/>
      <c r="F174" s="253"/>
    </row>
    <row r="175" spans="1:6" ht="13.5" hidden="1" thickBot="1" x14ac:dyDescent="0.25">
      <c r="A175" s="5" t="s">
        <v>309</v>
      </c>
    </row>
    <row r="176" spans="1:6" ht="13.5" hidden="1" thickBot="1" x14ac:dyDescent="0.25">
      <c r="A176" s="22" t="s">
        <v>65</v>
      </c>
      <c r="B176" s="180" t="s">
        <v>66</v>
      </c>
      <c r="C176" s="180" t="s">
        <v>41</v>
      </c>
      <c r="D176" s="210" t="s">
        <v>254</v>
      </c>
      <c r="E176" s="210" t="s">
        <v>67</v>
      </c>
      <c r="F176" s="250" t="s">
        <v>68</v>
      </c>
    </row>
    <row r="177" spans="1:6" hidden="1" x14ac:dyDescent="0.2">
      <c r="A177" s="11" t="s">
        <v>230</v>
      </c>
      <c r="B177" s="181" t="s">
        <v>8</v>
      </c>
      <c r="C177" s="181">
        <v>1</v>
      </c>
      <c r="D177" s="211">
        <v>3500</v>
      </c>
      <c r="E177" s="211">
        <f>C177*D177</f>
        <v>3500</v>
      </c>
    </row>
    <row r="178" spans="1:6" hidden="1" x14ac:dyDescent="0.2">
      <c r="A178" s="11" t="s">
        <v>231</v>
      </c>
      <c r="B178" s="181" t="s">
        <v>8</v>
      </c>
      <c r="C178" s="181">
        <v>1</v>
      </c>
      <c r="D178" s="211"/>
      <c r="E178" s="211"/>
    </row>
    <row r="179" spans="1:6" hidden="1" x14ac:dyDescent="0.2">
      <c r="A179" s="12" t="s">
        <v>35</v>
      </c>
      <c r="B179" s="182" t="s">
        <v>0</v>
      </c>
      <c r="C179" s="260"/>
      <c r="D179" s="212">
        <f>D177/220*2</f>
        <v>31.818181818181817</v>
      </c>
      <c r="E179" s="212">
        <f>C179*D179</f>
        <v>0</v>
      </c>
    </row>
    <row r="180" spans="1:6" hidden="1" x14ac:dyDescent="0.2">
      <c r="A180" s="12" t="s">
        <v>36</v>
      </c>
      <c r="B180" s="182" t="s">
        <v>0</v>
      </c>
      <c r="C180" s="260"/>
      <c r="D180" s="212">
        <f>D177/220*1.5</f>
        <v>23.863636363636363</v>
      </c>
      <c r="E180" s="212">
        <f>C180*D180</f>
        <v>0</v>
      </c>
    </row>
    <row r="181" spans="1:6" hidden="1" x14ac:dyDescent="0.2">
      <c r="A181" s="12" t="s">
        <v>234</v>
      </c>
      <c r="B181" s="182" t="s">
        <v>34</v>
      </c>
      <c r="D181" s="212">
        <f>63/302*(SUM(E179:E180))</f>
        <v>0</v>
      </c>
      <c r="E181" s="212">
        <f>D181</f>
        <v>0</v>
      </c>
    </row>
    <row r="182" spans="1:6" hidden="1" x14ac:dyDescent="0.2">
      <c r="A182" s="12" t="s">
        <v>229</v>
      </c>
      <c r="B182" s="182"/>
      <c r="C182" s="262">
        <v>1</v>
      </c>
      <c r="D182" s="212"/>
      <c r="E182" s="212"/>
    </row>
    <row r="183" spans="1:6" hidden="1" x14ac:dyDescent="0.2">
      <c r="A183" s="12" t="s">
        <v>1</v>
      </c>
      <c r="B183" s="182" t="s">
        <v>2</v>
      </c>
      <c r="C183" s="182">
        <v>20</v>
      </c>
      <c r="D183" s="212">
        <f>IF(C182=2,SUM(E177:E181),IF(C182=1,(SUM(E177:E181))*D178/D177,0))</f>
        <v>0</v>
      </c>
      <c r="E183" s="212">
        <f>C183*D183/100</f>
        <v>0</v>
      </c>
    </row>
    <row r="184" spans="1:6" hidden="1" x14ac:dyDescent="0.2">
      <c r="A184" s="30" t="s">
        <v>3</v>
      </c>
      <c r="B184" s="183"/>
      <c r="C184" s="183"/>
      <c r="D184" s="213"/>
      <c r="E184" s="219">
        <f>SUM(E177:E183)</f>
        <v>3500</v>
      </c>
      <c r="F184" s="252"/>
    </row>
    <row r="185" spans="1:6" hidden="1" x14ac:dyDescent="0.2">
      <c r="A185" s="12" t="s">
        <v>4</v>
      </c>
      <c r="B185" s="182" t="s">
        <v>2</v>
      </c>
      <c r="C185" s="212">
        <f>'2.Encargos Sociais'!$C$34*100</f>
        <v>75.87</v>
      </c>
      <c r="D185" s="212">
        <f>E184</f>
        <v>3500</v>
      </c>
      <c r="E185" s="212">
        <f>D185*C185/100</f>
        <v>2655.45</v>
      </c>
    </row>
    <row r="186" spans="1:6" hidden="1" x14ac:dyDescent="0.2">
      <c r="A186" s="30" t="s">
        <v>274</v>
      </c>
      <c r="B186" s="184"/>
      <c r="C186" s="184"/>
      <c r="D186" s="215"/>
      <c r="E186" s="219">
        <f>E184+E185</f>
        <v>6155.45</v>
      </c>
      <c r="F186" s="252"/>
    </row>
    <row r="187" spans="1:6" ht="13.5" hidden="1" thickBot="1" x14ac:dyDescent="0.25">
      <c r="A187" s="12" t="s">
        <v>5</v>
      </c>
      <c r="B187" s="182" t="s">
        <v>6</v>
      </c>
      <c r="C187" s="182"/>
      <c r="D187" s="212">
        <f>E186</f>
        <v>6155.45</v>
      </c>
      <c r="E187" s="212">
        <f>C187*D187</f>
        <v>0</v>
      </c>
    </row>
    <row r="188" spans="1:6" ht="13.5" hidden="1" thickBot="1" x14ac:dyDescent="0.25">
      <c r="D188" s="214" t="s">
        <v>203</v>
      </c>
      <c r="E188" s="240">
        <v>0.33</v>
      </c>
      <c r="F188" s="251">
        <f>E187*E188</f>
        <v>0</v>
      </c>
    </row>
    <row r="189" spans="1:6" hidden="1" x14ac:dyDescent="0.2">
      <c r="D189" s="214"/>
      <c r="E189" s="178"/>
      <c r="F189" s="253"/>
    </row>
    <row r="190" spans="1:6" ht="13.5" hidden="1" thickBot="1" x14ac:dyDescent="0.25">
      <c r="A190" s="5" t="s">
        <v>310</v>
      </c>
    </row>
    <row r="191" spans="1:6" ht="13.5" hidden="1" thickBot="1" x14ac:dyDescent="0.25">
      <c r="A191" s="22" t="s">
        <v>65</v>
      </c>
      <c r="B191" s="180" t="s">
        <v>66</v>
      </c>
      <c r="C191" s="180" t="s">
        <v>41</v>
      </c>
      <c r="D191" s="210" t="s">
        <v>254</v>
      </c>
      <c r="E191" s="210" t="s">
        <v>67</v>
      </c>
      <c r="F191" s="250" t="s">
        <v>68</v>
      </c>
    </row>
    <row r="192" spans="1:6" hidden="1" x14ac:dyDescent="0.2">
      <c r="A192" s="11" t="s">
        <v>230</v>
      </c>
      <c r="B192" s="181" t="s">
        <v>8</v>
      </c>
      <c r="C192" s="181">
        <v>1</v>
      </c>
      <c r="D192" s="211">
        <v>2000</v>
      </c>
      <c r="E192" s="211">
        <f>C192*D192</f>
        <v>2000</v>
      </c>
    </row>
    <row r="193" spans="1:7" hidden="1" x14ac:dyDescent="0.2">
      <c r="A193" s="11" t="s">
        <v>231</v>
      </c>
      <c r="B193" s="181" t="s">
        <v>8</v>
      </c>
      <c r="C193" s="181">
        <v>1</v>
      </c>
      <c r="D193" s="211"/>
      <c r="E193" s="211"/>
    </row>
    <row r="194" spans="1:7" hidden="1" x14ac:dyDescent="0.2">
      <c r="A194" s="12" t="s">
        <v>35</v>
      </c>
      <c r="B194" s="182" t="s">
        <v>0</v>
      </c>
      <c r="C194" s="260"/>
      <c r="D194" s="212">
        <f>D192/220*2</f>
        <v>18.181818181818183</v>
      </c>
      <c r="E194" s="212">
        <f>C194*D194</f>
        <v>0</v>
      </c>
    </row>
    <row r="195" spans="1:7" hidden="1" x14ac:dyDescent="0.2">
      <c r="A195" s="12" t="s">
        <v>36</v>
      </c>
      <c r="B195" s="182" t="s">
        <v>0</v>
      </c>
      <c r="C195" s="260"/>
      <c r="D195" s="212">
        <f>D192/220*1.5</f>
        <v>13.636363636363637</v>
      </c>
      <c r="E195" s="212">
        <f>C195*D195</f>
        <v>0</v>
      </c>
    </row>
    <row r="196" spans="1:7" hidden="1" x14ac:dyDescent="0.2">
      <c r="A196" s="12" t="s">
        <v>234</v>
      </c>
      <c r="B196" s="182" t="s">
        <v>34</v>
      </c>
      <c r="D196" s="212">
        <f>63/302*(SUM(E194:E195))</f>
        <v>0</v>
      </c>
      <c r="E196" s="212">
        <f>D196</f>
        <v>0</v>
      </c>
    </row>
    <row r="197" spans="1:7" hidden="1" x14ac:dyDescent="0.2">
      <c r="A197" s="12" t="s">
        <v>229</v>
      </c>
      <c r="B197" s="182"/>
      <c r="C197" s="262">
        <v>1</v>
      </c>
      <c r="D197" s="212"/>
      <c r="E197" s="212"/>
    </row>
    <row r="198" spans="1:7" hidden="1" x14ac:dyDescent="0.2">
      <c r="A198" s="12" t="s">
        <v>1</v>
      </c>
      <c r="B198" s="182" t="s">
        <v>2</v>
      </c>
      <c r="C198" s="182">
        <v>20</v>
      </c>
      <c r="D198" s="212">
        <f>IF(C197=2,SUM(E192:E196),IF(C197=1,(SUM(E192:E196))*D193/D192,0))</f>
        <v>0</v>
      </c>
      <c r="E198" s="212">
        <f>C198*D198/100</f>
        <v>0</v>
      </c>
    </row>
    <row r="199" spans="1:7" hidden="1" x14ac:dyDescent="0.2">
      <c r="A199" s="30" t="s">
        <v>3</v>
      </c>
      <c r="B199" s="183"/>
      <c r="C199" s="183"/>
      <c r="D199" s="213"/>
      <c r="E199" s="219">
        <f>SUM(E192:E198)</f>
        <v>2000</v>
      </c>
      <c r="F199" s="252"/>
    </row>
    <row r="200" spans="1:7" hidden="1" x14ac:dyDescent="0.2">
      <c r="A200" s="12" t="s">
        <v>4</v>
      </c>
      <c r="B200" s="182" t="s">
        <v>2</v>
      </c>
      <c r="C200" s="212">
        <f>'2.Encargos Sociais'!$C$34*100</f>
        <v>75.87</v>
      </c>
      <c r="D200" s="212">
        <f>E199</f>
        <v>2000</v>
      </c>
      <c r="E200" s="212">
        <f>D200*C200/100</f>
        <v>1517.4</v>
      </c>
    </row>
    <row r="201" spans="1:7" hidden="1" x14ac:dyDescent="0.2">
      <c r="A201" s="30" t="s">
        <v>274</v>
      </c>
      <c r="B201" s="184"/>
      <c r="C201" s="184"/>
      <c r="D201" s="215"/>
      <c r="E201" s="219">
        <f>E199+E200</f>
        <v>3517.4</v>
      </c>
      <c r="F201" s="252"/>
    </row>
    <row r="202" spans="1:7" ht="13.5" hidden="1" thickBot="1" x14ac:dyDescent="0.25">
      <c r="A202" s="12" t="s">
        <v>5</v>
      </c>
      <c r="B202" s="182" t="s">
        <v>6</v>
      </c>
      <c r="C202" s="182"/>
      <c r="D202" s="212">
        <f>E201</f>
        <v>3517.4</v>
      </c>
      <c r="E202" s="212">
        <f>C202*D202</f>
        <v>0</v>
      </c>
    </row>
    <row r="203" spans="1:7" ht="13.5" hidden="1" thickBot="1" x14ac:dyDescent="0.25">
      <c r="D203" s="214" t="s">
        <v>203</v>
      </c>
      <c r="E203" s="240">
        <v>0.33</v>
      </c>
      <c r="F203" s="251">
        <f>E202*E203</f>
        <v>0</v>
      </c>
    </row>
    <row r="204" spans="1:7" hidden="1" x14ac:dyDescent="0.2">
      <c r="D204" s="214"/>
      <c r="E204" s="178"/>
      <c r="F204" s="253"/>
    </row>
    <row r="205" spans="1:7" ht="11.25" hidden="1" customHeight="1" x14ac:dyDescent="0.2">
      <c r="G205" s="7"/>
    </row>
    <row r="206" spans="1:7" ht="13.5" thickBot="1" x14ac:dyDescent="0.25">
      <c r="A206" s="5" t="s">
        <v>342</v>
      </c>
      <c r="B206" s="185"/>
      <c r="D206" s="165"/>
      <c r="E206" s="165"/>
      <c r="G206" s="7"/>
    </row>
    <row r="207" spans="1:7" ht="13.5" thickBot="1" x14ac:dyDescent="0.25">
      <c r="A207" s="22" t="s">
        <v>65</v>
      </c>
      <c r="B207" s="180" t="s">
        <v>66</v>
      </c>
      <c r="C207" s="180" t="s">
        <v>41</v>
      </c>
      <c r="D207" s="210" t="s">
        <v>254</v>
      </c>
      <c r="E207" s="210" t="s">
        <v>67</v>
      </c>
      <c r="F207" s="250" t="s">
        <v>68</v>
      </c>
      <c r="G207" s="7"/>
    </row>
    <row r="208" spans="1:7" x14ac:dyDescent="0.2">
      <c r="A208" s="12" t="s">
        <v>94</v>
      </c>
      <c r="B208" s="182" t="s">
        <v>34</v>
      </c>
      <c r="C208" s="263">
        <v>1</v>
      </c>
      <c r="D208" s="200">
        <v>3.95</v>
      </c>
      <c r="E208" s="212"/>
      <c r="G208" s="7"/>
    </row>
    <row r="209" spans="1:7" x14ac:dyDescent="0.2">
      <c r="A209" s="12" t="s">
        <v>95</v>
      </c>
      <c r="B209" s="182" t="s">
        <v>96</v>
      </c>
      <c r="C209" s="165">
        <v>26</v>
      </c>
      <c r="D209" s="212"/>
      <c r="E209" s="212"/>
      <c r="G209" s="7"/>
    </row>
    <row r="210" spans="1:7" x14ac:dyDescent="0.2">
      <c r="A210" s="12" t="s">
        <v>76</v>
      </c>
      <c r="B210" s="182" t="s">
        <v>9</v>
      </c>
      <c r="C210" s="264">
        <f>$C$209*2*(C87+C106)</f>
        <v>104</v>
      </c>
      <c r="D210" s="211">
        <f>IFERROR((($C$209*2*$D$208)-(E79*0.06))/($C$209*2),"-")</f>
        <v>2.0029076923076925</v>
      </c>
      <c r="E210" s="212">
        <f>IFERROR(C210*D210,"-")</f>
        <v>208.30240000000003</v>
      </c>
      <c r="G210" s="7"/>
    </row>
    <row r="211" spans="1:7" ht="13.5" thickBot="1" x14ac:dyDescent="0.25">
      <c r="A211" s="11" t="s">
        <v>45</v>
      </c>
      <c r="B211" s="181" t="s">
        <v>9</v>
      </c>
      <c r="C211" s="264">
        <f>$C$209*2*(C121+C142)</f>
        <v>52</v>
      </c>
      <c r="D211" s="211">
        <f>IFERROR((($C$209*2*$D$208)-(E111*0.06))/($C$209*2),"-")</f>
        <v>1.7274246153846156</v>
      </c>
      <c r="E211" s="211">
        <f>IFERROR(C211*D211,"-")</f>
        <v>89.826080000000005</v>
      </c>
      <c r="G211" s="7"/>
    </row>
    <row r="212" spans="1:7" hidden="1" x14ac:dyDescent="0.2">
      <c r="A212" s="163" t="s">
        <v>331</v>
      </c>
      <c r="B212" s="181" t="s">
        <v>9</v>
      </c>
      <c r="C212" s="264"/>
      <c r="D212" s="211">
        <f>IFERROR((($C$209*2*$D$208)-(E162*0.06))/($C$209*2),"-")</f>
        <v>1.876076923076923</v>
      </c>
      <c r="E212" s="211">
        <f t="shared" ref="E212:E213" si="3">IFERROR(C212*D212,"-")</f>
        <v>0</v>
      </c>
      <c r="G212" s="7"/>
    </row>
    <row r="213" spans="1:7" ht="13.5" hidden="1" thickBot="1" x14ac:dyDescent="0.25">
      <c r="A213" s="163" t="s">
        <v>308</v>
      </c>
      <c r="B213" s="181" t="s">
        <v>9</v>
      </c>
      <c r="C213" s="264"/>
      <c r="D213" s="211">
        <f>IFERROR((($C$209*2*$D$208)-(E192*0.06))/($C$209*2),"-")</f>
        <v>1.6423076923076925</v>
      </c>
      <c r="E213" s="211">
        <f t="shared" si="3"/>
        <v>0</v>
      </c>
      <c r="G213" s="7"/>
    </row>
    <row r="214" spans="1:7" ht="13.5" thickBot="1" x14ac:dyDescent="0.25">
      <c r="F214" s="254">
        <f>SUM(E210:E213)</f>
        <v>298.12848000000002</v>
      </c>
      <c r="G214" s="7"/>
    </row>
    <row r="215" spans="1:7" ht="11.25" customHeight="1" x14ac:dyDescent="0.2">
      <c r="G215" s="7"/>
    </row>
    <row r="216" spans="1:7" ht="13.5" thickBot="1" x14ac:dyDescent="0.25">
      <c r="A216" s="5" t="s">
        <v>343</v>
      </c>
      <c r="F216" s="223"/>
      <c r="G216" s="7"/>
    </row>
    <row r="217" spans="1:7" ht="13.5" thickBot="1" x14ac:dyDescent="0.25">
      <c r="A217" s="22" t="s">
        <v>65</v>
      </c>
      <c r="B217" s="180" t="s">
        <v>66</v>
      </c>
      <c r="C217" s="180" t="s">
        <v>41</v>
      </c>
      <c r="D217" s="210" t="s">
        <v>254</v>
      </c>
      <c r="E217" s="210" t="s">
        <v>67</v>
      </c>
      <c r="F217" s="250" t="s">
        <v>68</v>
      </c>
      <c r="G217" s="7"/>
    </row>
    <row r="218" spans="1:7" x14ac:dyDescent="0.2">
      <c r="A218" s="12" t="str">
        <f>+A210</f>
        <v>Coletor</v>
      </c>
      <c r="B218" s="182" t="s">
        <v>10</v>
      </c>
      <c r="C218" s="264">
        <f>26*2</f>
        <v>52</v>
      </c>
      <c r="D218" s="212">
        <v>22</v>
      </c>
      <c r="E218" s="240">
        <f>C218*D218</f>
        <v>1144</v>
      </c>
      <c r="F218" s="223"/>
      <c r="G218" s="7"/>
    </row>
    <row r="219" spans="1:7" x14ac:dyDescent="0.2">
      <c r="A219" s="12" t="str">
        <f>+A211</f>
        <v>Motorista</v>
      </c>
      <c r="B219" s="182" t="s">
        <v>10</v>
      </c>
      <c r="C219" s="264">
        <v>1</v>
      </c>
      <c r="D219" s="212">
        <f>97.24*1.06</f>
        <v>103.0744</v>
      </c>
      <c r="E219" s="240">
        <f>C219*D219</f>
        <v>103.0744</v>
      </c>
      <c r="F219" s="223"/>
      <c r="G219" s="7"/>
    </row>
    <row r="220" spans="1:7" hidden="1" x14ac:dyDescent="0.2">
      <c r="A220" s="164" t="s">
        <v>326</v>
      </c>
      <c r="B220" s="182" t="s">
        <v>10</v>
      </c>
      <c r="C220" s="264"/>
      <c r="D220" s="212">
        <v>16</v>
      </c>
      <c r="E220" s="240">
        <f t="shared" ref="E220:E221" si="4">C220*D220</f>
        <v>0</v>
      </c>
      <c r="F220" s="223"/>
      <c r="G220" s="7"/>
    </row>
    <row r="221" spans="1:7" ht="13.5" thickBot="1" x14ac:dyDescent="0.25">
      <c r="A221" s="164"/>
      <c r="B221" s="182" t="s">
        <v>10</v>
      </c>
      <c r="C221" s="264"/>
      <c r="D221" s="212"/>
      <c r="E221" s="240">
        <f t="shared" si="4"/>
        <v>0</v>
      </c>
      <c r="F221" s="223"/>
      <c r="G221" s="7"/>
    </row>
    <row r="222" spans="1:7" ht="13.5" thickBot="1" x14ac:dyDescent="0.25">
      <c r="F222" s="254">
        <f>SUM(E218:E221)</f>
        <v>1247.0744</v>
      </c>
      <c r="G222" s="7"/>
    </row>
    <row r="223" spans="1:7" hidden="1" x14ac:dyDescent="0.2">
      <c r="G223" s="7"/>
    </row>
    <row r="224" spans="1:7" ht="13.5" hidden="1" thickBot="1" x14ac:dyDescent="0.25">
      <c r="A224" s="5" t="s">
        <v>311</v>
      </c>
      <c r="F224" s="223"/>
      <c r="G224" s="7"/>
    </row>
    <row r="225" spans="1:7" ht="13.5" hidden="1" thickBot="1" x14ac:dyDescent="0.25">
      <c r="A225" s="22" t="s">
        <v>65</v>
      </c>
      <c r="B225" s="180" t="s">
        <v>66</v>
      </c>
      <c r="C225" s="180" t="s">
        <v>41</v>
      </c>
      <c r="D225" s="210" t="s">
        <v>254</v>
      </c>
      <c r="E225" s="210" t="s">
        <v>67</v>
      </c>
      <c r="F225" s="250" t="s">
        <v>68</v>
      </c>
      <c r="G225" s="7"/>
    </row>
    <row r="226" spans="1:7" hidden="1" x14ac:dyDescent="0.2">
      <c r="A226" s="12" t="str">
        <f>+A218</f>
        <v>Coletor</v>
      </c>
      <c r="B226" s="182" t="s">
        <v>10</v>
      </c>
      <c r="C226" s="264">
        <f>E57+E58</f>
        <v>2</v>
      </c>
      <c r="D226" s="212"/>
      <c r="E226" s="240">
        <f>C226*D226</f>
        <v>0</v>
      </c>
      <c r="F226" s="223"/>
      <c r="G226" s="7"/>
    </row>
    <row r="227" spans="1:7" ht="13.5" hidden="1" thickBot="1" x14ac:dyDescent="0.25">
      <c r="A227" s="12" t="str">
        <f>+A219</f>
        <v>Motorista</v>
      </c>
      <c r="B227" s="182" t="s">
        <v>10</v>
      </c>
      <c r="C227" s="264">
        <f>E59+E60</f>
        <v>1</v>
      </c>
      <c r="D227" s="212"/>
      <c r="E227" s="240">
        <f>C227*D227</f>
        <v>0</v>
      </c>
      <c r="F227" s="223"/>
      <c r="G227" s="7"/>
    </row>
    <row r="228" spans="1:7" ht="13.5" hidden="1" thickBot="1" x14ac:dyDescent="0.25">
      <c r="D228" s="214" t="s">
        <v>203</v>
      </c>
      <c r="E228" s="240">
        <f>$B$73</f>
        <v>1</v>
      </c>
      <c r="F228" s="254">
        <f>SUM(E226:E227)*E228</f>
        <v>0</v>
      </c>
      <c r="G228" s="7"/>
    </row>
    <row r="229" spans="1:7" ht="13.5" thickBot="1" x14ac:dyDescent="0.25">
      <c r="G229" s="7"/>
    </row>
    <row r="230" spans="1:7" ht="13.5" thickBot="1" x14ac:dyDescent="0.25">
      <c r="A230" s="13" t="s">
        <v>97</v>
      </c>
      <c r="B230" s="186"/>
      <c r="C230" s="186"/>
      <c r="D230" s="206"/>
      <c r="E230" s="241"/>
      <c r="F230" s="254">
        <f>F228+F222+F214+F143+F122+F107+F88+F203+F188+F173+F158</f>
        <v>13593.662631200001</v>
      </c>
      <c r="G230" s="7"/>
    </row>
    <row r="232" spans="1:7" x14ac:dyDescent="0.2">
      <c r="A232" s="9" t="s">
        <v>46</v>
      </c>
      <c r="G232" s="7"/>
    </row>
    <row r="233" spans="1:7" ht="11.25" customHeight="1" x14ac:dyDescent="0.2">
      <c r="G233" s="7"/>
    </row>
    <row r="234" spans="1:7" ht="13.9" customHeight="1" x14ac:dyDescent="0.2">
      <c r="A234" s="7" t="s">
        <v>205</v>
      </c>
      <c r="G234" s="7"/>
    </row>
    <row r="235" spans="1:7" ht="11.25" customHeight="1" thickBot="1" x14ac:dyDescent="0.25">
      <c r="G235" s="7"/>
    </row>
    <row r="236" spans="1:7" ht="27.75" customHeight="1" thickBot="1" x14ac:dyDescent="0.25">
      <c r="A236" s="22" t="s">
        <v>65</v>
      </c>
      <c r="B236" s="180" t="s">
        <v>66</v>
      </c>
      <c r="C236" s="265" t="s">
        <v>276</v>
      </c>
      <c r="D236" s="210" t="s">
        <v>254</v>
      </c>
      <c r="E236" s="210" t="s">
        <v>67</v>
      </c>
      <c r="F236" s="250" t="s">
        <v>68</v>
      </c>
      <c r="G236" s="7"/>
    </row>
    <row r="237" spans="1:7" hidden="1" x14ac:dyDescent="0.2">
      <c r="A237" s="11" t="s">
        <v>69</v>
      </c>
      <c r="B237" s="181" t="s">
        <v>10</v>
      </c>
      <c r="C237" s="266"/>
      <c r="D237" s="211">
        <v>65</v>
      </c>
      <c r="E237" s="211">
        <f>IFERROR(D237/C237,0)</f>
        <v>0</v>
      </c>
      <c r="G237" s="7"/>
    </row>
    <row r="238" spans="1:7" ht="13.15" customHeight="1" x14ac:dyDescent="0.2">
      <c r="A238" s="12" t="s">
        <v>29</v>
      </c>
      <c r="B238" s="182" t="s">
        <v>10</v>
      </c>
      <c r="C238" s="266">
        <v>2</v>
      </c>
      <c r="D238" s="211">
        <v>38</v>
      </c>
      <c r="E238" s="211">
        <f t="shared" ref="E238:E246" si="5">IFERROR(D238/C238,0)</f>
        <v>19</v>
      </c>
      <c r="G238" s="7"/>
    </row>
    <row r="239" spans="1:7" x14ac:dyDescent="0.2">
      <c r="A239" s="12" t="s">
        <v>30</v>
      </c>
      <c r="B239" s="182" t="s">
        <v>10</v>
      </c>
      <c r="C239" s="266">
        <v>1</v>
      </c>
      <c r="D239" s="211">
        <v>32</v>
      </c>
      <c r="E239" s="211">
        <f t="shared" si="5"/>
        <v>32</v>
      </c>
      <c r="G239" s="7"/>
    </row>
    <row r="240" spans="1:7" ht="13.15" customHeight="1" x14ac:dyDescent="0.2">
      <c r="A240" s="12" t="s">
        <v>31</v>
      </c>
      <c r="B240" s="182" t="s">
        <v>10</v>
      </c>
      <c r="C240" s="266">
        <v>3</v>
      </c>
      <c r="D240" s="211">
        <v>12</v>
      </c>
      <c r="E240" s="211">
        <f t="shared" si="5"/>
        <v>4</v>
      </c>
      <c r="G240" s="7"/>
    </row>
    <row r="241" spans="1:7" ht="13.9" customHeight="1" x14ac:dyDescent="0.2">
      <c r="A241" s="12" t="s">
        <v>71</v>
      </c>
      <c r="B241" s="182" t="s">
        <v>49</v>
      </c>
      <c r="C241" s="266">
        <v>2</v>
      </c>
      <c r="D241" s="211">
        <v>65</v>
      </c>
      <c r="E241" s="211">
        <f t="shared" si="5"/>
        <v>32.5</v>
      </c>
      <c r="G241" s="7"/>
    </row>
    <row r="242" spans="1:7" ht="13.15" customHeight="1" x14ac:dyDescent="0.2">
      <c r="A242" s="12" t="s">
        <v>98</v>
      </c>
      <c r="B242" s="182" t="s">
        <v>49</v>
      </c>
      <c r="C242" s="266">
        <v>2</v>
      </c>
      <c r="D242" s="211">
        <v>10</v>
      </c>
      <c r="E242" s="211">
        <f t="shared" si="5"/>
        <v>5</v>
      </c>
    </row>
    <row r="243" spans="1:7" x14ac:dyDescent="0.2">
      <c r="A243" s="12" t="s">
        <v>70</v>
      </c>
      <c r="B243" s="182" t="s">
        <v>10</v>
      </c>
      <c r="C243" s="266">
        <v>6</v>
      </c>
      <c r="D243" s="211">
        <v>66</v>
      </c>
      <c r="E243" s="211">
        <f t="shared" si="5"/>
        <v>11</v>
      </c>
    </row>
    <row r="244" spans="1:7" s="1" customFormat="1" hidden="1" x14ac:dyDescent="0.2">
      <c r="A244" s="2" t="s">
        <v>11</v>
      </c>
      <c r="B244" s="187" t="s">
        <v>10</v>
      </c>
      <c r="C244" s="266"/>
      <c r="D244" s="211">
        <v>26.45</v>
      </c>
      <c r="E244" s="211">
        <f t="shared" si="5"/>
        <v>0</v>
      </c>
      <c r="F244" s="255"/>
      <c r="G244" s="15"/>
    </row>
    <row r="245" spans="1:7" x14ac:dyDescent="0.2">
      <c r="A245" s="12" t="s">
        <v>32</v>
      </c>
      <c r="B245" s="182" t="s">
        <v>49</v>
      </c>
      <c r="C245" s="266">
        <v>1</v>
      </c>
      <c r="D245" s="211">
        <v>18.989999999999998</v>
      </c>
      <c r="E245" s="211">
        <f t="shared" si="5"/>
        <v>18.989999999999998</v>
      </c>
    </row>
    <row r="246" spans="1:7" ht="13.15" customHeight="1" x14ac:dyDescent="0.2">
      <c r="A246" s="12" t="s">
        <v>64</v>
      </c>
      <c r="B246" s="182" t="s">
        <v>50</v>
      </c>
      <c r="C246" s="266">
        <v>1</v>
      </c>
      <c r="D246" s="211">
        <v>16</v>
      </c>
      <c r="E246" s="211">
        <f t="shared" si="5"/>
        <v>16</v>
      </c>
    </row>
    <row r="247" spans="1:7" hidden="1" x14ac:dyDescent="0.2">
      <c r="A247" s="12" t="s">
        <v>206</v>
      </c>
      <c r="B247" s="182" t="s">
        <v>128</v>
      </c>
      <c r="C247" s="262">
        <v>1</v>
      </c>
      <c r="D247" s="211"/>
      <c r="E247" s="212">
        <f t="shared" ref="E247:E248" si="6">C247*D247</f>
        <v>0</v>
      </c>
    </row>
    <row r="248" spans="1:7" ht="13.5" thickBot="1" x14ac:dyDescent="0.25">
      <c r="A248" s="12" t="s">
        <v>5</v>
      </c>
      <c r="B248" s="182" t="s">
        <v>6</v>
      </c>
      <c r="C248" s="262">
        <f>E57+E58</f>
        <v>2</v>
      </c>
      <c r="D248" s="212">
        <f>+SUM(E237:E247)</f>
        <v>138.49</v>
      </c>
      <c r="E248" s="212">
        <f t="shared" si="6"/>
        <v>276.98</v>
      </c>
    </row>
    <row r="249" spans="1:7" ht="13.5" thickBot="1" x14ac:dyDescent="0.25">
      <c r="D249" s="214" t="s">
        <v>203</v>
      </c>
      <c r="E249" s="240">
        <f>$B$73</f>
        <v>1</v>
      </c>
      <c r="F249" s="251">
        <f>E248*E249</f>
        <v>276.98</v>
      </c>
    </row>
    <row r="250" spans="1:7" ht="11.25" customHeight="1" x14ac:dyDescent="0.2"/>
    <row r="251" spans="1:7" ht="13.9" customHeight="1" x14ac:dyDescent="0.2">
      <c r="A251" s="7" t="s">
        <v>207</v>
      </c>
    </row>
    <row r="252" spans="1:7" ht="11.25" customHeight="1" thickBot="1" x14ac:dyDescent="0.25"/>
    <row r="253" spans="1:7" ht="24.75" thickBot="1" x14ac:dyDescent="0.25">
      <c r="A253" s="22" t="s">
        <v>65</v>
      </c>
      <c r="B253" s="180" t="s">
        <v>66</v>
      </c>
      <c r="C253" s="265" t="s">
        <v>276</v>
      </c>
      <c r="D253" s="210" t="s">
        <v>254</v>
      </c>
      <c r="E253" s="210" t="s">
        <v>67</v>
      </c>
      <c r="F253" s="250" t="s">
        <v>68</v>
      </c>
    </row>
    <row r="254" spans="1:7" hidden="1" x14ac:dyDescent="0.2">
      <c r="A254" s="11" t="s">
        <v>69</v>
      </c>
      <c r="B254" s="181" t="s">
        <v>10</v>
      </c>
      <c r="C254" s="266"/>
      <c r="D254" s="211">
        <f>+D237</f>
        <v>65</v>
      </c>
      <c r="E254" s="211">
        <f>IFERROR(D254/C254,0)</f>
        <v>0</v>
      </c>
    </row>
    <row r="255" spans="1:7" x14ac:dyDescent="0.2">
      <c r="A255" s="12" t="s">
        <v>29</v>
      </c>
      <c r="B255" s="182" t="s">
        <v>10</v>
      </c>
      <c r="C255" s="266">
        <v>3</v>
      </c>
      <c r="D255" s="212">
        <f>+D238</f>
        <v>38</v>
      </c>
      <c r="E255" s="211">
        <f t="shared" ref="E255:E259" si="7">IFERROR(D255/C255,0)</f>
        <v>12.666666666666666</v>
      </c>
    </row>
    <row r="256" spans="1:7" x14ac:dyDescent="0.2">
      <c r="A256" s="12" t="s">
        <v>30</v>
      </c>
      <c r="B256" s="182" t="s">
        <v>10</v>
      </c>
      <c r="C256" s="266">
        <v>2</v>
      </c>
      <c r="D256" s="212">
        <f>+D239</f>
        <v>32</v>
      </c>
      <c r="E256" s="211">
        <f t="shared" si="7"/>
        <v>16</v>
      </c>
    </row>
    <row r="257" spans="1:7" x14ac:dyDescent="0.2">
      <c r="A257" s="12" t="s">
        <v>71</v>
      </c>
      <c r="B257" s="182" t="s">
        <v>49</v>
      </c>
      <c r="C257" s="266">
        <v>3</v>
      </c>
      <c r="D257" s="212">
        <f>+D241</f>
        <v>65</v>
      </c>
      <c r="E257" s="211">
        <f t="shared" si="7"/>
        <v>21.666666666666668</v>
      </c>
    </row>
    <row r="258" spans="1:7" x14ac:dyDescent="0.2">
      <c r="A258" s="12" t="s">
        <v>70</v>
      </c>
      <c r="B258" s="182" t="s">
        <v>10</v>
      </c>
      <c r="C258" s="266">
        <v>6</v>
      </c>
      <c r="D258" s="212">
        <f>+D243</f>
        <v>66</v>
      </c>
      <c r="E258" s="211">
        <f t="shared" si="7"/>
        <v>11</v>
      </c>
      <c r="G258" s="7"/>
    </row>
    <row r="259" spans="1:7" x14ac:dyDescent="0.2">
      <c r="A259" s="12" t="s">
        <v>64</v>
      </c>
      <c r="B259" s="182" t="s">
        <v>50</v>
      </c>
      <c r="C259" s="266">
        <v>3</v>
      </c>
      <c r="D259" s="212">
        <f>+D246</f>
        <v>16</v>
      </c>
      <c r="E259" s="211">
        <f t="shared" si="7"/>
        <v>5.333333333333333</v>
      </c>
      <c r="G259" s="7"/>
    </row>
    <row r="260" spans="1:7" hidden="1" x14ac:dyDescent="0.2">
      <c r="A260" s="12" t="s">
        <v>206</v>
      </c>
      <c r="B260" s="182" t="s">
        <v>128</v>
      </c>
      <c r="C260" s="262">
        <v>1</v>
      </c>
      <c r="D260" s="211"/>
      <c r="E260" s="212">
        <f t="shared" ref="E260:E261" si="8">C260*D260</f>
        <v>0</v>
      </c>
      <c r="G260" s="7"/>
    </row>
    <row r="261" spans="1:7" ht="13.5" thickBot="1" x14ac:dyDescent="0.25">
      <c r="A261" s="12" t="s">
        <v>5</v>
      </c>
      <c r="B261" s="182" t="s">
        <v>6</v>
      </c>
      <c r="C261" s="262">
        <f>E59+E60</f>
        <v>1</v>
      </c>
      <c r="D261" s="212">
        <f>+SUM(E254:E260)</f>
        <v>66.666666666666657</v>
      </c>
      <c r="E261" s="212">
        <f t="shared" si="8"/>
        <v>66.666666666666657</v>
      </c>
      <c r="G261" s="7"/>
    </row>
    <row r="262" spans="1:7" ht="13.5" thickBot="1" x14ac:dyDescent="0.25">
      <c r="D262" s="214" t="s">
        <v>203</v>
      </c>
      <c r="E262" s="240">
        <f>$B$73</f>
        <v>1</v>
      </c>
      <c r="F262" s="251">
        <f>E261*E262</f>
        <v>66.666666666666657</v>
      </c>
      <c r="G262" s="7"/>
    </row>
    <row r="263" spans="1:7" ht="11.25" customHeight="1" thickBot="1" x14ac:dyDescent="0.25">
      <c r="G263" s="7"/>
    </row>
    <row r="264" spans="1:7" ht="13.5" thickBot="1" x14ac:dyDescent="0.25">
      <c r="A264" s="13" t="s">
        <v>208</v>
      </c>
      <c r="B264" s="188"/>
      <c r="C264" s="188"/>
      <c r="D264" s="217"/>
      <c r="E264" s="242"/>
      <c r="F264" s="256">
        <f>+F249+F262</f>
        <v>343.64666666666665</v>
      </c>
      <c r="G264" s="7"/>
    </row>
    <row r="265" spans="1:7" ht="11.25" customHeight="1" x14ac:dyDescent="0.2">
      <c r="G265" s="7"/>
    </row>
    <row r="266" spans="1:7" x14ac:dyDescent="0.2">
      <c r="A266" s="9" t="s">
        <v>55</v>
      </c>
      <c r="G266" s="7"/>
    </row>
    <row r="267" spans="1:7" ht="11.25" customHeight="1" x14ac:dyDescent="0.2">
      <c r="B267" s="189"/>
      <c r="G267" s="7"/>
    </row>
    <row r="268" spans="1:7" x14ac:dyDescent="0.2">
      <c r="A268" s="5" t="s">
        <v>354</v>
      </c>
      <c r="G268" s="7"/>
    </row>
    <row r="269" spans="1:7" ht="11.25" customHeight="1" x14ac:dyDescent="0.2">
      <c r="G269" s="7"/>
    </row>
    <row r="270" spans="1:7" ht="13.5" thickBot="1" x14ac:dyDescent="0.25">
      <c r="A270" s="31" t="s">
        <v>47</v>
      </c>
      <c r="G270" s="7"/>
    </row>
    <row r="271" spans="1:7" ht="13.5" thickBot="1" x14ac:dyDescent="0.25">
      <c r="A271" s="22" t="s">
        <v>65</v>
      </c>
      <c r="B271" s="180" t="s">
        <v>66</v>
      </c>
      <c r="C271" s="180" t="s">
        <v>41</v>
      </c>
      <c r="D271" s="210" t="s">
        <v>254</v>
      </c>
      <c r="E271" s="210" t="s">
        <v>67</v>
      </c>
      <c r="F271" s="250" t="s">
        <v>68</v>
      </c>
      <c r="G271" s="7"/>
    </row>
    <row r="272" spans="1:7" x14ac:dyDescent="0.2">
      <c r="A272" s="11" t="s">
        <v>112</v>
      </c>
      <c r="B272" s="181" t="s">
        <v>10</v>
      </c>
      <c r="C272" s="181">
        <v>1</v>
      </c>
      <c r="D272" s="211">
        <v>200000</v>
      </c>
      <c r="E272" s="211">
        <f>C272*D272</f>
        <v>200000</v>
      </c>
      <c r="G272" s="7"/>
    </row>
    <row r="273" spans="1:10" x14ac:dyDescent="0.2">
      <c r="A273" s="12" t="s">
        <v>106</v>
      </c>
      <c r="B273" s="182" t="s">
        <v>107</v>
      </c>
      <c r="C273" s="182">
        <v>5</v>
      </c>
      <c r="D273" s="212"/>
      <c r="E273" s="212"/>
      <c r="G273" s="7"/>
    </row>
    <row r="274" spans="1:10" x14ac:dyDescent="0.2">
      <c r="A274" s="12" t="s">
        <v>222</v>
      </c>
      <c r="B274" s="182" t="s">
        <v>107</v>
      </c>
      <c r="C274" s="182">
        <v>3</v>
      </c>
      <c r="D274" s="212"/>
      <c r="E274" s="212"/>
      <c r="F274" s="257"/>
      <c r="I274" s="29"/>
      <c r="J274" s="29"/>
    </row>
    <row r="275" spans="1:10" x14ac:dyDescent="0.2">
      <c r="A275" s="12" t="s">
        <v>110</v>
      </c>
      <c r="B275" s="182" t="s">
        <v>2</v>
      </c>
      <c r="C275" s="212">
        <f>IFERROR(VLOOKUP(C273,'5. Depreciação'!A3:B17,2,FALSE),0)</f>
        <v>55.679999999999993</v>
      </c>
      <c r="D275" s="212">
        <f>E272</f>
        <v>200000</v>
      </c>
      <c r="E275" s="212">
        <f>C275*D275/100</f>
        <v>111359.99999999999</v>
      </c>
    </row>
    <row r="276" spans="1:10" ht="13.5" thickBot="1" x14ac:dyDescent="0.25">
      <c r="A276" s="145" t="s">
        <v>51</v>
      </c>
      <c r="B276" s="190" t="s">
        <v>8</v>
      </c>
      <c r="C276" s="190">
        <f>C273*12</f>
        <v>60</v>
      </c>
      <c r="D276" s="218">
        <f>IF(C274&lt;=C273,E275,0)</f>
        <v>111359.99999999999</v>
      </c>
      <c r="E276" s="218">
        <f>IFERROR(D276/C276,0)</f>
        <v>1855.9999999999998</v>
      </c>
    </row>
    <row r="277" spans="1:10" ht="13.5" thickTop="1" x14ac:dyDescent="0.2">
      <c r="A277" s="11" t="s">
        <v>111</v>
      </c>
      <c r="B277" s="181" t="s">
        <v>10</v>
      </c>
      <c r="C277" s="181">
        <f>C272</f>
        <v>1</v>
      </c>
      <c r="D277" s="211">
        <v>80000</v>
      </c>
      <c r="E277" s="211">
        <f>C277*D277</f>
        <v>80000</v>
      </c>
      <c r="G277" s="7"/>
    </row>
    <row r="278" spans="1:10" x14ac:dyDescent="0.2">
      <c r="A278" s="12" t="s">
        <v>108</v>
      </c>
      <c r="B278" s="182" t="s">
        <v>107</v>
      </c>
      <c r="C278" s="182">
        <v>10</v>
      </c>
      <c r="D278" s="212"/>
      <c r="E278" s="212"/>
    </row>
    <row r="279" spans="1:10" x14ac:dyDescent="0.2">
      <c r="A279" s="12" t="s">
        <v>223</v>
      </c>
      <c r="B279" s="182" t="s">
        <v>107</v>
      </c>
      <c r="C279" s="182">
        <v>3</v>
      </c>
      <c r="D279" s="212"/>
      <c r="E279" s="212"/>
      <c r="F279" s="257"/>
      <c r="I279" s="29"/>
      <c r="J279" s="29"/>
    </row>
    <row r="280" spans="1:10" x14ac:dyDescent="0.2">
      <c r="A280" s="12" t="s">
        <v>109</v>
      </c>
      <c r="B280" s="182" t="s">
        <v>2</v>
      </c>
      <c r="C280" s="240">
        <f>IFERROR(VLOOKUP(C278,'5. Depreciação'!A3:B17,2,FALSE),0)</f>
        <v>65.180000000000007</v>
      </c>
      <c r="D280" s="212">
        <f>E277</f>
        <v>80000</v>
      </c>
      <c r="E280" s="212">
        <f>C280*D280/100</f>
        <v>52144.000000000007</v>
      </c>
    </row>
    <row r="281" spans="1:10" x14ac:dyDescent="0.2">
      <c r="A281" s="30" t="s">
        <v>113</v>
      </c>
      <c r="B281" s="191" t="s">
        <v>8</v>
      </c>
      <c r="C281" s="191">
        <f>C278*12</f>
        <v>120</v>
      </c>
      <c r="D281" s="219">
        <f>IF(C279&lt;=C278,E280,0)</f>
        <v>52144.000000000007</v>
      </c>
      <c r="E281" s="219">
        <f>IFERROR(D281/C281,0)</f>
        <v>434.53333333333342</v>
      </c>
    </row>
    <row r="282" spans="1:10" x14ac:dyDescent="0.2">
      <c r="A282" s="35" t="s">
        <v>279</v>
      </c>
      <c r="B282" s="183"/>
      <c r="C282" s="183"/>
      <c r="D282" s="213"/>
      <c r="E282" s="239">
        <f>E276+E281</f>
        <v>2290.5333333333333</v>
      </c>
    </row>
    <row r="283" spans="1:10" ht="13.5" thickBot="1" x14ac:dyDescent="0.25">
      <c r="A283" s="30" t="s">
        <v>280</v>
      </c>
      <c r="B283" s="191" t="s">
        <v>10</v>
      </c>
      <c r="C283" s="182">
        <v>1</v>
      </c>
      <c r="D283" s="219">
        <f>E282</f>
        <v>2290.5333333333333</v>
      </c>
      <c r="E283" s="239">
        <f>C283*D283</f>
        <v>2290.5333333333333</v>
      </c>
    </row>
    <row r="284" spans="1:10" ht="13.5" thickBot="1" x14ac:dyDescent="0.25">
      <c r="A284" s="140"/>
      <c r="B284" s="192"/>
      <c r="C284" s="192"/>
      <c r="D284" s="214" t="s">
        <v>203</v>
      </c>
      <c r="E284" s="240">
        <f>$B$73</f>
        <v>1</v>
      </c>
      <c r="F284" s="256">
        <f>E283*E284</f>
        <v>2290.5333333333333</v>
      </c>
    </row>
    <row r="285" spans="1:10" ht="11.25" customHeight="1" x14ac:dyDescent="0.2"/>
    <row r="286" spans="1:10" ht="13.5" thickBot="1" x14ac:dyDescent="0.25">
      <c r="A286" s="31" t="s">
        <v>118</v>
      </c>
    </row>
    <row r="287" spans="1:10" ht="13.5" thickBot="1" x14ac:dyDescent="0.25">
      <c r="A287" s="33" t="s">
        <v>65</v>
      </c>
      <c r="B287" s="193" t="s">
        <v>66</v>
      </c>
      <c r="C287" s="193" t="s">
        <v>41</v>
      </c>
      <c r="D287" s="210" t="s">
        <v>254</v>
      </c>
      <c r="E287" s="243" t="s">
        <v>67</v>
      </c>
      <c r="F287" s="250" t="s">
        <v>68</v>
      </c>
      <c r="I287" s="29"/>
      <c r="J287" s="29"/>
    </row>
    <row r="288" spans="1:10" x14ac:dyDescent="0.2">
      <c r="A288" s="12" t="s">
        <v>116</v>
      </c>
      <c r="B288" s="182" t="s">
        <v>10</v>
      </c>
      <c r="C288" s="181">
        <v>1</v>
      </c>
      <c r="D288" s="212">
        <f>D272</f>
        <v>200000</v>
      </c>
      <c r="E288" s="212">
        <f>C288*D288</f>
        <v>200000</v>
      </c>
      <c r="F288" s="257"/>
      <c r="I288" s="29"/>
      <c r="J288" s="29"/>
    </row>
    <row r="289" spans="1:10" x14ac:dyDescent="0.2">
      <c r="A289" s="12" t="s">
        <v>226</v>
      </c>
      <c r="B289" s="182" t="s">
        <v>2</v>
      </c>
      <c r="C289" s="182">
        <v>13.75</v>
      </c>
      <c r="D289" s="212"/>
      <c r="E289" s="212"/>
      <c r="F289" s="257"/>
      <c r="I289" s="29"/>
      <c r="J289" s="29"/>
    </row>
    <row r="290" spans="1:10" x14ac:dyDescent="0.2">
      <c r="A290" s="12" t="s">
        <v>224</v>
      </c>
      <c r="B290" s="182" t="s">
        <v>34</v>
      </c>
      <c r="C290" s="267">
        <f>IFERROR(IF(C274&lt;=C273,E272-(C275/(100*C273)*C274)*E272,E272-E275),0)</f>
        <v>133184</v>
      </c>
      <c r="D290" s="212"/>
      <c r="E290" s="212"/>
      <c r="F290" s="257"/>
      <c r="I290" s="29"/>
      <c r="J290" s="29"/>
    </row>
    <row r="291" spans="1:10" x14ac:dyDescent="0.2">
      <c r="A291" s="12" t="s">
        <v>121</v>
      </c>
      <c r="B291" s="182" t="s">
        <v>34</v>
      </c>
      <c r="C291" s="212">
        <f>IFERROR(IF(C274&gt;=C273,C290,((((C290)-(E272-E275))*(((C273-C274)+1)/(2*(C273-C274))))+(E272-E275))),0)</f>
        <v>122048</v>
      </c>
      <c r="D291" s="212"/>
      <c r="E291" s="212"/>
      <c r="F291" s="257"/>
      <c r="I291" s="29"/>
      <c r="J291" s="29"/>
    </row>
    <row r="292" spans="1:10" ht="13.5" thickBot="1" x14ac:dyDescent="0.25">
      <c r="A292" s="145" t="s">
        <v>122</v>
      </c>
      <c r="B292" s="190" t="s">
        <v>34</v>
      </c>
      <c r="C292" s="190"/>
      <c r="D292" s="218">
        <f>C289*C291/12/100</f>
        <v>1398.4666666666665</v>
      </c>
      <c r="E292" s="218">
        <f>D292</f>
        <v>1398.4666666666665</v>
      </c>
      <c r="F292" s="257"/>
      <c r="I292" s="29"/>
      <c r="J292" s="29"/>
    </row>
    <row r="293" spans="1:10" ht="13.5" thickTop="1" x14ac:dyDescent="0.2">
      <c r="A293" s="11" t="s">
        <v>117</v>
      </c>
      <c r="B293" s="181" t="s">
        <v>10</v>
      </c>
      <c r="C293" s="181">
        <f>C277</f>
        <v>1</v>
      </c>
      <c r="D293" s="211">
        <f>D277</f>
        <v>80000</v>
      </c>
      <c r="E293" s="211">
        <f>C293*D293</f>
        <v>80000</v>
      </c>
      <c r="F293" s="257"/>
      <c r="I293" s="29"/>
      <c r="J293" s="29"/>
    </row>
    <row r="294" spans="1:10" x14ac:dyDescent="0.2">
      <c r="A294" s="12" t="s">
        <v>226</v>
      </c>
      <c r="B294" s="182" t="s">
        <v>2</v>
      </c>
      <c r="C294" s="182">
        <v>13.75</v>
      </c>
      <c r="D294" s="212"/>
      <c r="E294" s="212"/>
      <c r="F294" s="257"/>
      <c r="I294" s="29"/>
      <c r="J294" s="29"/>
    </row>
    <row r="295" spans="1:10" x14ac:dyDescent="0.2">
      <c r="A295" s="12" t="s">
        <v>225</v>
      </c>
      <c r="B295" s="182" t="s">
        <v>34</v>
      </c>
      <c r="C295" s="267">
        <f>IFERROR(IF(C279&lt;=C278,E277-(C280/(100*C278)*C279)*E277,E277-E280),0)</f>
        <v>64356.800000000003</v>
      </c>
      <c r="D295" s="212"/>
      <c r="E295" s="212"/>
      <c r="F295" s="257"/>
      <c r="I295" s="29"/>
      <c r="J295" s="29"/>
    </row>
    <row r="296" spans="1:10" x14ac:dyDescent="0.2">
      <c r="A296" s="12" t="s">
        <v>123</v>
      </c>
      <c r="B296" s="182" t="s">
        <v>34</v>
      </c>
      <c r="C296" s="212">
        <f>IFERROR(IF(C279&gt;=C278,C295,((((C295)-(E277-E280))*(((C278-C279)+1)/(2*(C278-C279))))+(E277-E280))),0)</f>
        <v>48713.599999999999</v>
      </c>
      <c r="D296" s="212"/>
      <c r="E296" s="212"/>
      <c r="F296" s="257"/>
      <c r="I296" s="29"/>
      <c r="J296" s="29"/>
    </row>
    <row r="297" spans="1:10" x14ac:dyDescent="0.2">
      <c r="A297" s="30" t="s">
        <v>120</v>
      </c>
      <c r="B297" s="191" t="s">
        <v>34</v>
      </c>
      <c r="C297" s="191"/>
      <c r="D297" s="219">
        <f>C294*C296/12/100</f>
        <v>558.17666666666662</v>
      </c>
      <c r="E297" s="219">
        <f>D297</f>
        <v>558.17666666666662</v>
      </c>
      <c r="F297" s="257"/>
      <c r="I297" s="29"/>
      <c r="J297" s="29"/>
    </row>
    <row r="298" spans="1:10" x14ac:dyDescent="0.2">
      <c r="A298" s="35" t="s">
        <v>279</v>
      </c>
      <c r="B298" s="183"/>
      <c r="C298" s="183"/>
      <c r="D298" s="213"/>
      <c r="E298" s="239">
        <f>E292+E297</f>
        <v>1956.643333333333</v>
      </c>
      <c r="F298" s="257"/>
      <c r="I298" s="29"/>
      <c r="J298" s="29"/>
    </row>
    <row r="299" spans="1:10" ht="13.5" thickBot="1" x14ac:dyDescent="0.25">
      <c r="A299" s="30" t="s">
        <v>280</v>
      </c>
      <c r="B299" s="191" t="s">
        <v>10</v>
      </c>
      <c r="C299" s="182">
        <f>C283</f>
        <v>1</v>
      </c>
      <c r="D299" s="219">
        <f>E298</f>
        <v>1956.643333333333</v>
      </c>
      <c r="E299" s="239">
        <f>C299*D299</f>
        <v>1956.643333333333</v>
      </c>
      <c r="F299" s="257"/>
      <c r="I299" s="29"/>
      <c r="J299" s="29"/>
    </row>
    <row r="300" spans="1:10" ht="13.5" thickBot="1" x14ac:dyDescent="0.25">
      <c r="C300" s="268"/>
      <c r="D300" s="214" t="s">
        <v>203</v>
      </c>
      <c r="E300" s="240">
        <f>$B$73</f>
        <v>1</v>
      </c>
      <c r="F300" s="256">
        <f>E299*E300</f>
        <v>1956.643333333333</v>
      </c>
      <c r="I300" s="29"/>
      <c r="J300" s="29"/>
    </row>
    <row r="301" spans="1:10" ht="11.25" customHeight="1" x14ac:dyDescent="0.2">
      <c r="I301" s="29"/>
      <c r="J301" s="29"/>
    </row>
    <row r="302" spans="1:10" ht="13.5" thickBot="1" x14ac:dyDescent="0.25">
      <c r="A302" s="7" t="s">
        <v>52</v>
      </c>
      <c r="I302" s="29"/>
      <c r="J302" s="29"/>
    </row>
    <row r="303" spans="1:10" ht="13.5" thickBot="1" x14ac:dyDescent="0.25">
      <c r="A303" s="22" t="s">
        <v>65</v>
      </c>
      <c r="B303" s="180" t="s">
        <v>66</v>
      </c>
      <c r="C303" s="180" t="s">
        <v>41</v>
      </c>
      <c r="D303" s="210" t="s">
        <v>254</v>
      </c>
      <c r="E303" s="210" t="s">
        <v>67</v>
      </c>
      <c r="F303" s="250" t="s">
        <v>68</v>
      </c>
      <c r="I303" s="29"/>
      <c r="J303" s="29"/>
    </row>
    <row r="304" spans="1:10" x14ac:dyDescent="0.2">
      <c r="A304" s="11" t="s">
        <v>12</v>
      </c>
      <c r="B304" s="181" t="s">
        <v>10</v>
      </c>
      <c r="C304" s="211">
        <f>C283</f>
        <v>1</v>
      </c>
      <c r="D304" s="211">
        <f>0.01*($E$272)</f>
        <v>2000</v>
      </c>
      <c r="E304" s="211">
        <f>C304*D304</f>
        <v>2000</v>
      </c>
      <c r="I304" s="29"/>
      <c r="J304" s="29"/>
    </row>
    <row r="305" spans="1:10" x14ac:dyDescent="0.2">
      <c r="A305" s="12" t="s">
        <v>202</v>
      </c>
      <c r="B305" s="182" t="s">
        <v>10</v>
      </c>
      <c r="C305" s="211">
        <f>C283</f>
        <v>1</v>
      </c>
      <c r="D305" s="212">
        <v>150</v>
      </c>
      <c r="E305" s="212">
        <f>C305*D305</f>
        <v>150</v>
      </c>
      <c r="I305" s="29"/>
      <c r="J305" s="29"/>
    </row>
    <row r="306" spans="1:10" hidden="1" x14ac:dyDescent="0.2">
      <c r="A306" s="12" t="s">
        <v>13</v>
      </c>
      <c r="B306" s="182" t="s">
        <v>10</v>
      </c>
      <c r="C306" s="211">
        <f>C283</f>
        <v>1</v>
      </c>
      <c r="D306" s="212"/>
      <c r="E306" s="212">
        <f>C306*D306</f>
        <v>0</v>
      </c>
      <c r="F306" s="253"/>
      <c r="I306" s="29"/>
      <c r="J306" s="29"/>
    </row>
    <row r="307" spans="1:10" ht="13.5" thickBot="1" x14ac:dyDescent="0.25">
      <c r="A307" s="30" t="s">
        <v>14</v>
      </c>
      <c r="B307" s="191" t="s">
        <v>8</v>
      </c>
      <c r="C307" s="191">
        <v>12</v>
      </c>
      <c r="D307" s="219">
        <f>SUM(E304:E306)</f>
        <v>2150</v>
      </c>
      <c r="E307" s="219">
        <f>D307/C307</f>
        <v>179.16666666666666</v>
      </c>
      <c r="I307" s="29"/>
      <c r="J307" s="29"/>
    </row>
    <row r="308" spans="1:10" ht="13.5" thickBot="1" x14ac:dyDescent="0.25">
      <c r="D308" s="214" t="s">
        <v>203</v>
      </c>
      <c r="E308" s="240">
        <f>$B$73</f>
        <v>1</v>
      </c>
      <c r="F308" s="251">
        <f>E307*E308</f>
        <v>179.16666666666666</v>
      </c>
      <c r="I308" s="29"/>
      <c r="J308" s="29"/>
    </row>
    <row r="309" spans="1:10" ht="11.25" customHeight="1" x14ac:dyDescent="0.2">
      <c r="I309" s="29"/>
      <c r="J309" s="29"/>
    </row>
    <row r="310" spans="1:10" x14ac:dyDescent="0.2">
      <c r="A310" s="7" t="s">
        <v>53</v>
      </c>
      <c r="B310" s="194"/>
      <c r="I310" s="29"/>
      <c r="J310" s="29"/>
    </row>
    <row r="311" spans="1:10" x14ac:dyDescent="0.2">
      <c r="B311" s="194"/>
      <c r="I311" s="29"/>
      <c r="J311" s="29"/>
    </row>
    <row r="312" spans="1:10" x14ac:dyDescent="0.2">
      <c r="A312" s="30" t="s">
        <v>125</v>
      </c>
      <c r="B312" s="195">
        <f>150*26</f>
        <v>3900</v>
      </c>
      <c r="I312" s="29"/>
      <c r="J312" s="29"/>
    </row>
    <row r="313" spans="1:10" ht="13.5" thickBot="1" x14ac:dyDescent="0.25">
      <c r="B313" s="194"/>
      <c r="I313" s="29"/>
      <c r="J313" s="29"/>
    </row>
    <row r="314" spans="1:10" ht="13.5" thickBot="1" x14ac:dyDescent="0.25">
      <c r="A314" s="22" t="s">
        <v>65</v>
      </c>
      <c r="B314" s="180" t="s">
        <v>66</v>
      </c>
      <c r="C314" s="180" t="s">
        <v>278</v>
      </c>
      <c r="D314" s="210" t="s">
        <v>254</v>
      </c>
      <c r="E314" s="210" t="s">
        <v>67</v>
      </c>
      <c r="F314" s="250" t="s">
        <v>68</v>
      </c>
      <c r="I314" s="29"/>
      <c r="J314" s="29"/>
    </row>
    <row r="315" spans="1:10" x14ac:dyDescent="0.2">
      <c r="A315" s="11" t="s">
        <v>15</v>
      </c>
      <c r="B315" s="181" t="s">
        <v>16</v>
      </c>
      <c r="C315" s="269">
        <v>2.5</v>
      </c>
      <c r="D315" s="220">
        <v>5.6</v>
      </c>
      <c r="E315" s="211"/>
      <c r="I315" s="29"/>
      <c r="J315" s="29"/>
    </row>
    <row r="316" spans="1:10" x14ac:dyDescent="0.2">
      <c r="A316" s="12" t="s">
        <v>17</v>
      </c>
      <c r="B316" s="182" t="s">
        <v>18</v>
      </c>
      <c r="C316" s="263">
        <f>B312</f>
        <v>3900</v>
      </c>
      <c r="D316" s="220">
        <f>IFERROR(+D315/C315,"-")</f>
        <v>2.2399999999999998</v>
      </c>
      <c r="E316" s="212">
        <f>IFERROR(C316*D316,"-")</f>
        <v>8736</v>
      </c>
      <c r="I316" s="29"/>
      <c r="J316" s="29"/>
    </row>
    <row r="317" spans="1:10" x14ac:dyDescent="0.2">
      <c r="A317" s="12" t="s">
        <v>255</v>
      </c>
      <c r="B317" s="182" t="s">
        <v>19</v>
      </c>
      <c r="C317" s="270">
        <v>6</v>
      </c>
      <c r="D317" s="212">
        <v>29</v>
      </c>
      <c r="E317" s="212"/>
      <c r="G317" s="34"/>
      <c r="I317" s="29"/>
      <c r="J317" s="29"/>
    </row>
    <row r="318" spans="1:10" x14ac:dyDescent="0.2">
      <c r="A318" s="12" t="s">
        <v>20</v>
      </c>
      <c r="B318" s="182" t="s">
        <v>18</v>
      </c>
      <c r="C318" s="263">
        <f>C316</f>
        <v>3900</v>
      </c>
      <c r="D318" s="221">
        <f>+C317*D317/1000</f>
        <v>0.17399999999999999</v>
      </c>
      <c r="E318" s="212">
        <f>C318*D318</f>
        <v>678.59999999999991</v>
      </c>
      <c r="G318" s="34"/>
      <c r="I318" s="29"/>
      <c r="J318" s="29"/>
    </row>
    <row r="319" spans="1:10" x14ac:dyDescent="0.2">
      <c r="A319" s="12" t="s">
        <v>256</v>
      </c>
      <c r="B319" s="182" t="s">
        <v>19</v>
      </c>
      <c r="C319" s="270">
        <v>0.85</v>
      </c>
      <c r="D319" s="212">
        <v>90</v>
      </c>
      <c r="E319" s="212"/>
      <c r="G319" s="34"/>
      <c r="I319" s="29"/>
      <c r="J319" s="29"/>
    </row>
    <row r="320" spans="1:10" x14ac:dyDescent="0.2">
      <c r="A320" s="12" t="s">
        <v>21</v>
      </c>
      <c r="B320" s="182" t="s">
        <v>18</v>
      </c>
      <c r="C320" s="263">
        <f>C316</f>
        <v>3900</v>
      </c>
      <c r="D320" s="221">
        <f>+C319*D319/1000</f>
        <v>7.6499999999999999E-2</v>
      </c>
      <c r="E320" s="212">
        <f>C320*D320</f>
        <v>298.35000000000002</v>
      </c>
      <c r="G320" s="34"/>
      <c r="I320" s="29"/>
      <c r="J320" s="29"/>
    </row>
    <row r="321" spans="1:10" x14ac:dyDescent="0.2">
      <c r="A321" s="12" t="s">
        <v>257</v>
      </c>
      <c r="B321" s="182" t="s">
        <v>19</v>
      </c>
      <c r="C321" s="270">
        <f>16/1000</f>
        <v>1.6E-2</v>
      </c>
      <c r="D321" s="212">
        <v>27.5</v>
      </c>
      <c r="E321" s="212"/>
      <c r="G321" s="34"/>
      <c r="I321" s="29"/>
      <c r="J321" s="29"/>
    </row>
    <row r="322" spans="1:10" x14ac:dyDescent="0.2">
      <c r="A322" s="12" t="s">
        <v>22</v>
      </c>
      <c r="B322" s="182" t="s">
        <v>18</v>
      </c>
      <c r="C322" s="263">
        <f>C320</f>
        <v>3900</v>
      </c>
      <c r="D322" s="221">
        <f>+C321*D321/1000</f>
        <v>4.4000000000000002E-4</v>
      </c>
      <c r="E322" s="212">
        <f>C322*D322</f>
        <v>1.716</v>
      </c>
      <c r="G322" s="34"/>
      <c r="I322" s="29"/>
      <c r="J322" s="29"/>
    </row>
    <row r="323" spans="1:10" x14ac:dyDescent="0.2">
      <c r="A323" s="12" t="s">
        <v>23</v>
      </c>
      <c r="B323" s="182" t="s">
        <v>24</v>
      </c>
      <c r="C323" s="270">
        <v>2</v>
      </c>
      <c r="D323" s="212">
        <v>30</v>
      </c>
      <c r="E323" s="212"/>
      <c r="G323" s="34"/>
      <c r="I323" s="29"/>
      <c r="J323" s="29"/>
    </row>
    <row r="324" spans="1:10" x14ac:dyDescent="0.2">
      <c r="A324" s="12" t="s">
        <v>25</v>
      </c>
      <c r="B324" s="182" t="s">
        <v>18</v>
      </c>
      <c r="C324" s="263">
        <f>C316</f>
        <v>3900</v>
      </c>
      <c r="D324" s="221">
        <f>+C323*D323/1000</f>
        <v>0.06</v>
      </c>
      <c r="E324" s="212">
        <f>C324*D324</f>
        <v>234</v>
      </c>
      <c r="G324" s="34"/>
      <c r="I324" s="29"/>
      <c r="J324" s="29"/>
    </row>
    <row r="325" spans="1:10" ht="13.5" thickBot="1" x14ac:dyDescent="0.25">
      <c r="A325" s="30" t="s">
        <v>277</v>
      </c>
      <c r="B325" s="191" t="s">
        <v>126</v>
      </c>
      <c r="C325" s="271"/>
      <c r="D325" s="222">
        <f>IFERROR(D316+D318+D320+D322+D324,0)</f>
        <v>2.5509399999999998</v>
      </c>
      <c r="E325" s="212"/>
      <c r="G325" s="34"/>
      <c r="I325" s="29"/>
      <c r="J325" s="29"/>
    </row>
    <row r="326" spans="1:10" ht="13.5" thickBot="1" x14ac:dyDescent="0.25">
      <c r="F326" s="256">
        <f>SUM(E315:E324)</f>
        <v>9948.6660000000011</v>
      </c>
      <c r="I326" s="29"/>
      <c r="J326" s="29"/>
    </row>
    <row r="327" spans="1:10" ht="11.25" customHeight="1" x14ac:dyDescent="0.2">
      <c r="I327" s="29"/>
      <c r="J327" s="29"/>
    </row>
    <row r="328" spans="1:10" ht="13.5" thickBot="1" x14ac:dyDescent="0.25">
      <c r="A328" s="7" t="s">
        <v>54</v>
      </c>
      <c r="I328" s="29"/>
      <c r="J328" s="29"/>
    </row>
    <row r="329" spans="1:10" ht="13.5" thickBot="1" x14ac:dyDescent="0.25">
      <c r="A329" s="22" t="s">
        <v>65</v>
      </c>
      <c r="B329" s="180" t="s">
        <v>66</v>
      </c>
      <c r="C329" s="180" t="s">
        <v>41</v>
      </c>
      <c r="D329" s="210" t="s">
        <v>254</v>
      </c>
      <c r="E329" s="210" t="s">
        <v>67</v>
      </c>
      <c r="F329" s="250" t="s">
        <v>68</v>
      </c>
      <c r="I329" s="29"/>
      <c r="J329" s="29"/>
    </row>
    <row r="330" spans="1:10" ht="13.5" thickBot="1" x14ac:dyDescent="0.25">
      <c r="A330" s="11" t="s">
        <v>124</v>
      </c>
      <c r="B330" s="181" t="s">
        <v>126</v>
      </c>
      <c r="C330" s="263">
        <f>C316</f>
        <v>3900</v>
      </c>
      <c r="D330" s="211">
        <v>0.2</v>
      </c>
      <c r="E330" s="211">
        <f>C330*D330</f>
        <v>780</v>
      </c>
      <c r="I330" s="29"/>
      <c r="J330" s="29"/>
    </row>
    <row r="331" spans="1:10" ht="13.5" thickBot="1" x14ac:dyDescent="0.25">
      <c r="F331" s="256">
        <f>E330</f>
        <v>780</v>
      </c>
      <c r="I331" s="29"/>
      <c r="J331" s="29"/>
    </row>
    <row r="332" spans="1:10" ht="11.25" customHeight="1" x14ac:dyDescent="0.2">
      <c r="I332" s="29"/>
      <c r="J332" s="29"/>
    </row>
    <row r="333" spans="1:10" ht="13.5" thickBot="1" x14ac:dyDescent="0.25">
      <c r="A333" s="7" t="s">
        <v>63</v>
      </c>
      <c r="I333" s="29"/>
      <c r="J333" s="29"/>
    </row>
    <row r="334" spans="1:10" ht="13.5" thickBot="1" x14ac:dyDescent="0.25">
      <c r="A334" s="22" t="s">
        <v>65</v>
      </c>
      <c r="B334" s="180" t="s">
        <v>66</v>
      </c>
      <c r="C334" s="180" t="s">
        <v>41</v>
      </c>
      <c r="D334" s="210" t="s">
        <v>254</v>
      </c>
      <c r="E334" s="210" t="s">
        <v>67</v>
      </c>
      <c r="F334" s="250" t="s">
        <v>68</v>
      </c>
      <c r="I334" s="29"/>
      <c r="J334" s="29"/>
    </row>
    <row r="335" spans="1:10" x14ac:dyDescent="0.2">
      <c r="A335" s="11" t="s">
        <v>99</v>
      </c>
      <c r="B335" s="181" t="s">
        <v>10</v>
      </c>
      <c r="C335" s="181">
        <v>6</v>
      </c>
      <c r="D335" s="211">
        <v>1950</v>
      </c>
      <c r="E335" s="211">
        <f>C335*D335</f>
        <v>11700</v>
      </c>
      <c r="I335" s="29"/>
      <c r="J335" s="29"/>
    </row>
    <row r="336" spans="1:10" x14ac:dyDescent="0.2">
      <c r="A336" s="11" t="s">
        <v>127</v>
      </c>
      <c r="B336" s="181" t="s">
        <v>10</v>
      </c>
      <c r="C336" s="181">
        <v>2</v>
      </c>
      <c r="D336" s="211"/>
      <c r="E336" s="211"/>
      <c r="I336" s="29"/>
      <c r="J336" s="29"/>
    </row>
    <row r="337" spans="1:10" x14ac:dyDescent="0.2">
      <c r="A337" s="11" t="s">
        <v>73</v>
      </c>
      <c r="B337" s="181" t="s">
        <v>10</v>
      </c>
      <c r="C337" s="211">
        <f>C335*C336</f>
        <v>12</v>
      </c>
      <c r="D337" s="211">
        <v>850</v>
      </c>
      <c r="E337" s="211">
        <f>C337*D337</f>
        <v>10200</v>
      </c>
      <c r="I337" s="29"/>
      <c r="J337" s="29"/>
    </row>
    <row r="338" spans="1:10" x14ac:dyDescent="0.2">
      <c r="A338" s="12" t="s">
        <v>100</v>
      </c>
      <c r="B338" s="182" t="s">
        <v>26</v>
      </c>
      <c r="C338" s="272">
        <v>100000</v>
      </c>
      <c r="D338" s="212">
        <f>E335+E337</f>
        <v>21900</v>
      </c>
      <c r="E338" s="212">
        <f>IFERROR(D338/C338,"-")</f>
        <v>0.219</v>
      </c>
      <c r="I338" s="29"/>
      <c r="J338" s="29"/>
    </row>
    <row r="339" spans="1:10" ht="13.5" thickBot="1" x14ac:dyDescent="0.25">
      <c r="A339" s="12" t="s">
        <v>56</v>
      </c>
      <c r="B339" s="182" t="s">
        <v>18</v>
      </c>
      <c r="C339" s="263">
        <f>B312</f>
        <v>3900</v>
      </c>
      <c r="D339" s="212">
        <f>E338</f>
        <v>0.219</v>
      </c>
      <c r="E339" s="212">
        <f>IFERROR(C339*D339,0)</f>
        <v>854.1</v>
      </c>
      <c r="I339" s="29"/>
      <c r="J339" s="29"/>
    </row>
    <row r="340" spans="1:10" ht="13.5" thickBot="1" x14ac:dyDescent="0.25">
      <c r="F340" s="256">
        <f>E339</f>
        <v>854.1</v>
      </c>
      <c r="I340" s="29"/>
      <c r="J340" s="29"/>
    </row>
    <row r="341" spans="1:10" x14ac:dyDescent="0.2">
      <c r="F341" s="253"/>
      <c r="I341" s="29"/>
      <c r="J341" s="29"/>
    </row>
    <row r="342" spans="1:10" s="5" customFormat="1" ht="13.5" thickBot="1" x14ac:dyDescent="0.25">
      <c r="B342" s="278"/>
      <c r="C342" s="278"/>
      <c r="D342" s="279"/>
      <c r="E342" s="279"/>
      <c r="F342" s="279"/>
      <c r="G342" s="277"/>
      <c r="I342" s="280"/>
      <c r="J342" s="280"/>
    </row>
    <row r="343" spans="1:10" s="5" customFormat="1" ht="13.5" thickBot="1" x14ac:dyDescent="0.25">
      <c r="A343" s="22" t="s">
        <v>65</v>
      </c>
      <c r="B343" s="180" t="s">
        <v>66</v>
      </c>
      <c r="C343" s="180" t="s">
        <v>41</v>
      </c>
      <c r="D343" s="210" t="s">
        <v>254</v>
      </c>
      <c r="E343" s="210" t="s">
        <v>67</v>
      </c>
      <c r="F343" s="250" t="s">
        <v>68</v>
      </c>
      <c r="G343" s="277"/>
      <c r="I343" s="280"/>
      <c r="J343" s="280"/>
    </row>
    <row r="344" spans="1:10" s="5" customFormat="1" ht="13.5" thickBot="1" x14ac:dyDescent="0.25">
      <c r="A344" s="163"/>
      <c r="B344" s="275" t="s">
        <v>66</v>
      </c>
      <c r="C344" s="281">
        <v>0</v>
      </c>
      <c r="D344" s="282"/>
      <c r="E344" s="282">
        <f>C344*D344</f>
        <v>0</v>
      </c>
      <c r="F344" s="279"/>
      <c r="G344" s="277"/>
      <c r="I344" s="280"/>
      <c r="J344" s="280"/>
    </row>
    <row r="345" spans="1:10" s="5" customFormat="1" ht="13.5" thickBot="1" x14ac:dyDescent="0.25">
      <c r="B345" s="278"/>
      <c r="C345" s="278"/>
      <c r="D345" s="214" t="s">
        <v>203</v>
      </c>
      <c r="E345" s="240">
        <v>0.2</v>
      </c>
      <c r="F345" s="256">
        <f>E344*E345</f>
        <v>0</v>
      </c>
      <c r="G345" s="277"/>
      <c r="I345" s="280"/>
      <c r="J345" s="280"/>
    </row>
    <row r="346" spans="1:10" ht="13.5" thickBot="1" x14ac:dyDescent="0.25">
      <c r="F346" s="253"/>
      <c r="I346" s="29"/>
      <c r="J346" s="29"/>
    </row>
    <row r="347" spans="1:10" hidden="1" x14ac:dyDescent="0.2">
      <c r="A347" s="5" t="s">
        <v>312</v>
      </c>
      <c r="I347" s="29"/>
      <c r="J347" s="29"/>
    </row>
    <row r="348" spans="1:10" hidden="1" x14ac:dyDescent="0.2">
      <c r="I348" s="29"/>
      <c r="J348" s="29"/>
    </row>
    <row r="349" spans="1:10" ht="13.5" hidden="1" thickBot="1" x14ac:dyDescent="0.25">
      <c r="A349" s="31" t="s">
        <v>332</v>
      </c>
      <c r="I349" s="29"/>
      <c r="J349" s="29"/>
    </row>
    <row r="350" spans="1:10" ht="13.5" hidden="1" thickBot="1" x14ac:dyDescent="0.25">
      <c r="A350" s="22" t="s">
        <v>65</v>
      </c>
      <c r="B350" s="180" t="s">
        <v>66</v>
      </c>
      <c r="C350" s="180" t="s">
        <v>41</v>
      </c>
      <c r="D350" s="210" t="s">
        <v>254</v>
      </c>
      <c r="E350" s="210" t="s">
        <v>67</v>
      </c>
      <c r="F350" s="250" t="s">
        <v>68</v>
      </c>
      <c r="I350" s="29"/>
      <c r="J350" s="29"/>
    </row>
    <row r="351" spans="1:10" hidden="1" x14ac:dyDescent="0.2">
      <c r="A351" s="11" t="s">
        <v>112</v>
      </c>
      <c r="B351" s="181" t="s">
        <v>10</v>
      </c>
      <c r="C351" s="181">
        <v>1</v>
      </c>
      <c r="D351" s="211">
        <v>150000</v>
      </c>
      <c r="E351" s="211">
        <f>C351*D351</f>
        <v>150000</v>
      </c>
      <c r="I351" s="29"/>
      <c r="J351" s="29"/>
    </row>
    <row r="352" spans="1:10" hidden="1" x14ac:dyDescent="0.2">
      <c r="A352" s="12" t="s">
        <v>106</v>
      </c>
      <c r="B352" s="182" t="s">
        <v>107</v>
      </c>
      <c r="C352" s="182">
        <v>5</v>
      </c>
      <c r="D352" s="212"/>
      <c r="E352" s="212"/>
      <c r="I352" s="29"/>
      <c r="J352" s="29"/>
    </row>
    <row r="353" spans="1:10" hidden="1" x14ac:dyDescent="0.2">
      <c r="A353" s="12" t="s">
        <v>222</v>
      </c>
      <c r="B353" s="182" t="s">
        <v>107</v>
      </c>
      <c r="C353" s="182">
        <v>3</v>
      </c>
      <c r="D353" s="212"/>
      <c r="E353" s="212"/>
      <c r="F353" s="257"/>
      <c r="I353" s="29"/>
      <c r="J353" s="29"/>
    </row>
    <row r="354" spans="1:10" hidden="1" x14ac:dyDescent="0.2">
      <c r="A354" s="12" t="s">
        <v>110</v>
      </c>
      <c r="B354" s="182" t="s">
        <v>2</v>
      </c>
      <c r="C354" s="212">
        <f>IFERROR(VLOOKUP(C352,'5. Depreciação'!A3:B17,2,FALSE),0)</f>
        <v>55.679999999999993</v>
      </c>
      <c r="D354" s="212">
        <f>E351</f>
        <v>150000</v>
      </c>
      <c r="E354" s="212">
        <f>C354*D354/100</f>
        <v>83519.999999999985</v>
      </c>
      <c r="I354" s="29"/>
      <c r="J354" s="29"/>
    </row>
    <row r="355" spans="1:10" ht="13.5" hidden="1" thickBot="1" x14ac:dyDescent="0.25">
      <c r="A355" s="145" t="s">
        <v>51</v>
      </c>
      <c r="B355" s="190" t="s">
        <v>8</v>
      </c>
      <c r="C355" s="190">
        <f>C352*12</f>
        <v>60</v>
      </c>
      <c r="D355" s="218">
        <f>IF(C353&lt;=C352,E354,0)</f>
        <v>83519.999999999985</v>
      </c>
      <c r="E355" s="218">
        <f>IFERROR(D355/C355,0)</f>
        <v>1391.9999999999998</v>
      </c>
      <c r="I355" s="29"/>
      <c r="J355" s="29"/>
    </row>
    <row r="356" spans="1:10" ht="13.5" hidden="1" thickTop="1" x14ac:dyDescent="0.2">
      <c r="A356" s="163" t="s">
        <v>313</v>
      </c>
      <c r="B356" s="181" t="s">
        <v>10</v>
      </c>
      <c r="C356" s="181">
        <f>C351</f>
        <v>1</v>
      </c>
      <c r="D356" s="211">
        <v>30000</v>
      </c>
      <c r="E356" s="211">
        <f>C356*D356</f>
        <v>30000</v>
      </c>
      <c r="I356" s="29"/>
      <c r="J356" s="29"/>
    </row>
    <row r="357" spans="1:10" hidden="1" x14ac:dyDescent="0.2">
      <c r="A357" s="164" t="s">
        <v>314</v>
      </c>
      <c r="B357" s="182" t="s">
        <v>107</v>
      </c>
      <c r="C357" s="182">
        <v>5</v>
      </c>
      <c r="D357" s="212"/>
      <c r="E357" s="212"/>
      <c r="I357" s="29"/>
      <c r="J357" s="29"/>
    </row>
    <row r="358" spans="1:10" hidden="1" x14ac:dyDescent="0.2">
      <c r="A358" s="164" t="s">
        <v>315</v>
      </c>
      <c r="B358" s="182" t="s">
        <v>107</v>
      </c>
      <c r="C358" s="182">
        <v>3</v>
      </c>
      <c r="D358" s="212"/>
      <c r="E358" s="212"/>
      <c r="F358" s="257"/>
      <c r="I358" s="29"/>
      <c r="J358" s="29"/>
    </row>
    <row r="359" spans="1:10" hidden="1" x14ac:dyDescent="0.2">
      <c r="A359" s="164" t="s">
        <v>316</v>
      </c>
      <c r="B359" s="182" t="s">
        <v>2</v>
      </c>
      <c r="C359" s="240">
        <f>IFERROR(VLOOKUP(C357,'5. Depreciação'!A3:B17,2,FALSE),0)</f>
        <v>55.679999999999993</v>
      </c>
      <c r="D359" s="212">
        <f>E356</f>
        <v>30000</v>
      </c>
      <c r="E359" s="212">
        <f>C359*D359/100</f>
        <v>16703.999999999996</v>
      </c>
      <c r="I359" s="29"/>
      <c r="J359" s="29"/>
    </row>
    <row r="360" spans="1:10" hidden="1" x14ac:dyDescent="0.2">
      <c r="A360" s="30" t="s">
        <v>317</v>
      </c>
      <c r="B360" s="191" t="s">
        <v>8</v>
      </c>
      <c r="C360" s="191">
        <f>C357*12</f>
        <v>60</v>
      </c>
      <c r="D360" s="219">
        <f>IF(C358&lt;=C357,E359,0)</f>
        <v>16703.999999999996</v>
      </c>
      <c r="E360" s="219">
        <f>IFERROR(D360/C360,0)</f>
        <v>278.39999999999992</v>
      </c>
      <c r="I360" s="29"/>
      <c r="J360" s="29"/>
    </row>
    <row r="361" spans="1:10" hidden="1" x14ac:dyDescent="0.2">
      <c r="A361" s="35" t="s">
        <v>279</v>
      </c>
      <c r="B361" s="183"/>
      <c r="C361" s="183"/>
      <c r="D361" s="213"/>
      <c r="E361" s="239">
        <f>E355+E360</f>
        <v>1670.3999999999996</v>
      </c>
      <c r="I361" s="29"/>
      <c r="J361" s="29"/>
    </row>
    <row r="362" spans="1:10" ht="13.5" hidden="1" thickBot="1" x14ac:dyDescent="0.25">
      <c r="A362" s="30" t="s">
        <v>280</v>
      </c>
      <c r="B362" s="191" t="s">
        <v>10</v>
      </c>
      <c r="C362" s="182"/>
      <c r="D362" s="219">
        <f>E361</f>
        <v>1670.3999999999996</v>
      </c>
      <c r="E362" s="239">
        <f>C362*D362</f>
        <v>0</v>
      </c>
      <c r="I362" s="29"/>
      <c r="J362" s="29"/>
    </row>
    <row r="363" spans="1:10" ht="13.5" hidden="1" thickBot="1" x14ac:dyDescent="0.25">
      <c r="A363" s="140"/>
      <c r="B363" s="192"/>
      <c r="C363" s="192"/>
      <c r="D363" s="214" t="s">
        <v>203</v>
      </c>
      <c r="E363" s="240">
        <f>$B$73</f>
        <v>1</v>
      </c>
      <c r="F363" s="256">
        <f>E362*E363</f>
        <v>0</v>
      </c>
      <c r="I363" s="29"/>
      <c r="J363" s="29"/>
    </row>
    <row r="364" spans="1:10" hidden="1" x14ac:dyDescent="0.2">
      <c r="I364" s="29"/>
      <c r="J364" s="29"/>
    </row>
    <row r="365" spans="1:10" ht="13.5" hidden="1" thickBot="1" x14ac:dyDescent="0.25">
      <c r="A365" s="31" t="s">
        <v>333</v>
      </c>
      <c r="I365" s="29"/>
      <c r="J365" s="29"/>
    </row>
    <row r="366" spans="1:10" ht="13.5" hidden="1" thickBot="1" x14ac:dyDescent="0.25">
      <c r="A366" s="33" t="s">
        <v>65</v>
      </c>
      <c r="B366" s="193" t="s">
        <v>66</v>
      </c>
      <c r="C366" s="193" t="s">
        <v>41</v>
      </c>
      <c r="D366" s="210" t="s">
        <v>254</v>
      </c>
      <c r="E366" s="243" t="s">
        <v>67</v>
      </c>
      <c r="F366" s="250" t="s">
        <v>68</v>
      </c>
      <c r="I366" s="29"/>
      <c r="J366" s="29"/>
    </row>
    <row r="367" spans="1:10" hidden="1" x14ac:dyDescent="0.2">
      <c r="A367" s="12" t="s">
        <v>116</v>
      </c>
      <c r="B367" s="182" t="s">
        <v>10</v>
      </c>
      <c r="C367" s="181">
        <v>1</v>
      </c>
      <c r="D367" s="212">
        <f>D351</f>
        <v>150000</v>
      </c>
      <c r="E367" s="212">
        <f>C367*D367</f>
        <v>150000</v>
      </c>
      <c r="F367" s="257"/>
      <c r="I367" s="29"/>
      <c r="J367" s="29"/>
    </row>
    <row r="368" spans="1:10" hidden="1" x14ac:dyDescent="0.2">
      <c r="A368" s="12" t="s">
        <v>226</v>
      </c>
      <c r="B368" s="182" t="s">
        <v>2</v>
      </c>
      <c r="C368" s="182">
        <v>6.5</v>
      </c>
      <c r="D368" s="212"/>
      <c r="E368" s="212"/>
      <c r="F368" s="257"/>
      <c r="I368" s="29"/>
      <c r="J368" s="29"/>
    </row>
    <row r="369" spans="1:10" hidden="1" x14ac:dyDescent="0.2">
      <c r="A369" s="12" t="s">
        <v>224</v>
      </c>
      <c r="B369" s="182" t="s">
        <v>34</v>
      </c>
      <c r="C369" s="267">
        <f>IFERROR(IF(C353&lt;=C352,E351-(C354/(100*C352)*C353)*E351,E351-E354),0)</f>
        <v>99888</v>
      </c>
      <c r="D369" s="212"/>
      <c r="E369" s="212"/>
      <c r="F369" s="257"/>
      <c r="I369" s="29"/>
      <c r="J369" s="29"/>
    </row>
    <row r="370" spans="1:10" hidden="1" x14ac:dyDescent="0.2">
      <c r="A370" s="12" t="s">
        <v>121</v>
      </c>
      <c r="B370" s="182" t="s">
        <v>34</v>
      </c>
      <c r="C370" s="212">
        <f>IFERROR(IF(C353&gt;=C352,C369,((((C369)-(E351-E354))*(((C352-C353)+1)/(2*(C352-C353))))+(E351-E354))),0)</f>
        <v>91536</v>
      </c>
      <c r="D370" s="212"/>
      <c r="E370" s="212"/>
      <c r="F370" s="257"/>
      <c r="I370" s="29"/>
      <c r="J370" s="29"/>
    </row>
    <row r="371" spans="1:10" ht="13.5" hidden="1" thickBot="1" x14ac:dyDescent="0.25">
      <c r="A371" s="145" t="s">
        <v>122</v>
      </c>
      <c r="B371" s="190" t="s">
        <v>34</v>
      </c>
      <c r="C371" s="190"/>
      <c r="D371" s="218">
        <f>C368*C370/12/100</f>
        <v>495.82</v>
      </c>
      <c r="E371" s="218">
        <f>D371</f>
        <v>495.82</v>
      </c>
      <c r="F371" s="257"/>
      <c r="I371" s="29"/>
      <c r="J371" s="29"/>
    </row>
    <row r="372" spans="1:10" ht="13.5" hidden="1" thickTop="1" x14ac:dyDescent="0.2">
      <c r="A372" s="11" t="s">
        <v>117</v>
      </c>
      <c r="B372" s="181" t="s">
        <v>10</v>
      </c>
      <c r="C372" s="181">
        <f>C356</f>
        <v>1</v>
      </c>
      <c r="D372" s="211">
        <f>D356</f>
        <v>30000</v>
      </c>
      <c r="E372" s="211">
        <f>C372*D372</f>
        <v>30000</v>
      </c>
      <c r="F372" s="257"/>
      <c r="I372" s="29"/>
      <c r="J372" s="29"/>
    </row>
    <row r="373" spans="1:10" hidden="1" x14ac:dyDescent="0.2">
      <c r="A373" s="12" t="s">
        <v>226</v>
      </c>
      <c r="B373" s="182" t="s">
        <v>2</v>
      </c>
      <c r="C373" s="182">
        <f>C368</f>
        <v>6.5</v>
      </c>
      <c r="D373" s="212"/>
      <c r="E373" s="212"/>
      <c r="F373" s="257"/>
      <c r="I373" s="29"/>
      <c r="J373" s="29"/>
    </row>
    <row r="374" spans="1:10" hidden="1" x14ac:dyDescent="0.2">
      <c r="A374" s="12" t="s">
        <v>225</v>
      </c>
      <c r="B374" s="182" t="s">
        <v>34</v>
      </c>
      <c r="C374" s="267">
        <f>IFERROR(IF(C358&lt;=C357,E356-(C359/(100*C357)*C358)*E356,E356-E359),0)</f>
        <v>19977.600000000002</v>
      </c>
      <c r="D374" s="212"/>
      <c r="E374" s="212"/>
      <c r="F374" s="257"/>
      <c r="I374" s="29"/>
      <c r="J374" s="29"/>
    </row>
    <row r="375" spans="1:10" hidden="1" x14ac:dyDescent="0.2">
      <c r="A375" s="12" t="s">
        <v>123</v>
      </c>
      <c r="B375" s="182" t="s">
        <v>34</v>
      </c>
      <c r="C375" s="212">
        <f>IFERROR(IF(C358&gt;=C357,C374,((((C374)-(E356-E359))*(((C357-C358)+1)/(2*(C357-C358))))+(E356-E359))),0)</f>
        <v>18307.200000000004</v>
      </c>
      <c r="D375" s="212"/>
      <c r="E375" s="212"/>
      <c r="F375" s="257"/>
      <c r="I375" s="29"/>
      <c r="J375" s="29"/>
    </row>
    <row r="376" spans="1:10" hidden="1" x14ac:dyDescent="0.2">
      <c r="A376" s="30" t="s">
        <v>120</v>
      </c>
      <c r="B376" s="191" t="s">
        <v>34</v>
      </c>
      <c r="C376" s="191"/>
      <c r="D376" s="219">
        <f>C373*C375/12/100</f>
        <v>99.16400000000003</v>
      </c>
      <c r="E376" s="219">
        <f>D376</f>
        <v>99.16400000000003</v>
      </c>
      <c r="F376" s="257"/>
      <c r="I376" s="29"/>
      <c r="J376" s="29"/>
    </row>
    <row r="377" spans="1:10" hidden="1" x14ac:dyDescent="0.2">
      <c r="A377" s="35" t="s">
        <v>279</v>
      </c>
      <c r="B377" s="183"/>
      <c r="C377" s="183"/>
      <c r="D377" s="213"/>
      <c r="E377" s="239">
        <f>E371+E376</f>
        <v>594.98400000000004</v>
      </c>
      <c r="F377" s="257"/>
      <c r="I377" s="29"/>
      <c r="J377" s="29"/>
    </row>
    <row r="378" spans="1:10" ht="13.5" hidden="1" thickBot="1" x14ac:dyDescent="0.25">
      <c r="A378" s="30" t="s">
        <v>280</v>
      </c>
      <c r="B378" s="191" t="s">
        <v>10</v>
      </c>
      <c r="C378" s="182">
        <f>C362</f>
        <v>0</v>
      </c>
      <c r="D378" s="219">
        <f>E377</f>
        <v>594.98400000000004</v>
      </c>
      <c r="E378" s="239">
        <f>C378*D378</f>
        <v>0</v>
      </c>
      <c r="F378" s="257"/>
      <c r="I378" s="29"/>
      <c r="J378" s="29"/>
    </row>
    <row r="379" spans="1:10" ht="13.5" hidden="1" thickBot="1" x14ac:dyDescent="0.25">
      <c r="C379" s="268"/>
      <c r="D379" s="214" t="s">
        <v>203</v>
      </c>
      <c r="E379" s="240">
        <f>$B$73</f>
        <v>1</v>
      </c>
      <c r="F379" s="256">
        <f>E378*E379</f>
        <v>0</v>
      </c>
      <c r="I379" s="29"/>
      <c r="J379" s="29"/>
    </row>
    <row r="380" spans="1:10" hidden="1" x14ac:dyDescent="0.2">
      <c r="I380" s="29"/>
      <c r="J380" s="29"/>
    </row>
    <row r="381" spans="1:10" ht="13.5" hidden="1" thickBot="1" x14ac:dyDescent="0.25">
      <c r="A381" s="5" t="s">
        <v>334</v>
      </c>
      <c r="I381" s="29"/>
      <c r="J381" s="29"/>
    </row>
    <row r="382" spans="1:10" ht="13.5" hidden="1" thickBot="1" x14ac:dyDescent="0.25">
      <c r="A382" s="22" t="s">
        <v>65</v>
      </c>
      <c r="B382" s="180" t="s">
        <v>66</v>
      </c>
      <c r="C382" s="180" t="s">
        <v>41</v>
      </c>
      <c r="D382" s="210" t="s">
        <v>254</v>
      </c>
      <c r="E382" s="210" t="s">
        <v>67</v>
      </c>
      <c r="F382" s="250" t="s">
        <v>68</v>
      </c>
      <c r="I382" s="29"/>
      <c r="J382" s="29"/>
    </row>
    <row r="383" spans="1:10" hidden="1" x14ac:dyDescent="0.2">
      <c r="A383" s="11" t="s">
        <v>12</v>
      </c>
      <c r="B383" s="181" t="s">
        <v>10</v>
      </c>
      <c r="C383" s="211">
        <f>C362</f>
        <v>0</v>
      </c>
      <c r="D383" s="211">
        <f>0.01*($E$351)</f>
        <v>1500</v>
      </c>
      <c r="E383" s="211">
        <f>C383*D383</f>
        <v>0</v>
      </c>
      <c r="I383" s="29"/>
      <c r="J383" s="29"/>
    </row>
    <row r="384" spans="1:10" hidden="1" x14ac:dyDescent="0.2">
      <c r="A384" s="12" t="s">
        <v>202</v>
      </c>
      <c r="B384" s="182" t="s">
        <v>10</v>
      </c>
      <c r="C384" s="211">
        <f>C362</f>
        <v>0</v>
      </c>
      <c r="D384" s="212">
        <v>150</v>
      </c>
      <c r="E384" s="212">
        <f>C384*D384</f>
        <v>0</v>
      </c>
      <c r="I384" s="29"/>
      <c r="J384" s="29"/>
    </row>
    <row r="385" spans="1:10" hidden="1" x14ac:dyDescent="0.2">
      <c r="A385" s="12" t="s">
        <v>13</v>
      </c>
      <c r="B385" s="182" t="s">
        <v>10</v>
      </c>
      <c r="C385" s="211">
        <f>C362</f>
        <v>0</v>
      </c>
      <c r="D385" s="212">
        <v>1800</v>
      </c>
      <c r="E385" s="212">
        <f>C385*D385</f>
        <v>0</v>
      </c>
      <c r="F385" s="253"/>
      <c r="I385" s="29"/>
      <c r="J385" s="29"/>
    </row>
    <row r="386" spans="1:10" ht="13.5" hidden="1" thickBot="1" x14ac:dyDescent="0.25">
      <c r="A386" s="30" t="s">
        <v>14</v>
      </c>
      <c r="B386" s="191" t="s">
        <v>8</v>
      </c>
      <c r="C386" s="191">
        <v>12</v>
      </c>
      <c r="D386" s="219">
        <f>SUM(E383:E385)</f>
        <v>0</v>
      </c>
      <c r="E386" s="219">
        <f>D386/C386</f>
        <v>0</v>
      </c>
      <c r="I386" s="29"/>
      <c r="J386" s="29"/>
    </row>
    <row r="387" spans="1:10" ht="13.5" hidden="1" thickBot="1" x14ac:dyDescent="0.25">
      <c r="D387" s="214" t="s">
        <v>203</v>
      </c>
      <c r="E387" s="240">
        <f>$B$73</f>
        <v>1</v>
      </c>
      <c r="F387" s="251">
        <f>E386*E387</f>
        <v>0</v>
      </c>
      <c r="I387" s="29"/>
      <c r="J387" s="29"/>
    </row>
    <row r="388" spans="1:10" hidden="1" x14ac:dyDescent="0.2">
      <c r="I388" s="29"/>
      <c r="J388" s="29"/>
    </row>
    <row r="389" spans="1:10" hidden="1" x14ac:dyDescent="0.2">
      <c r="A389" s="5" t="s">
        <v>335</v>
      </c>
      <c r="B389" s="194"/>
      <c r="I389" s="29"/>
      <c r="J389" s="29"/>
    </row>
    <row r="390" spans="1:10" hidden="1" x14ac:dyDescent="0.2">
      <c r="B390" s="194"/>
      <c r="I390" s="29"/>
      <c r="J390" s="29"/>
    </row>
    <row r="391" spans="1:10" hidden="1" x14ac:dyDescent="0.2">
      <c r="A391" s="30" t="s">
        <v>125</v>
      </c>
      <c r="B391" s="195"/>
      <c r="I391" s="29"/>
      <c r="J391" s="29"/>
    </row>
    <row r="392" spans="1:10" ht="13.5" hidden="1" thickBot="1" x14ac:dyDescent="0.25">
      <c r="B392" s="194"/>
      <c r="I392" s="29"/>
      <c r="J392" s="29"/>
    </row>
    <row r="393" spans="1:10" ht="13.5" hidden="1" thickBot="1" x14ac:dyDescent="0.25">
      <c r="A393" s="22" t="s">
        <v>65</v>
      </c>
      <c r="B393" s="180" t="s">
        <v>66</v>
      </c>
      <c r="C393" s="180" t="s">
        <v>278</v>
      </c>
      <c r="D393" s="210" t="s">
        <v>254</v>
      </c>
      <c r="E393" s="210" t="s">
        <v>67</v>
      </c>
      <c r="F393" s="250" t="s">
        <v>68</v>
      </c>
      <c r="I393" s="29"/>
      <c r="J393" s="29"/>
    </row>
    <row r="394" spans="1:10" hidden="1" x14ac:dyDescent="0.2">
      <c r="A394" s="11" t="s">
        <v>15</v>
      </c>
      <c r="B394" s="181" t="s">
        <v>16</v>
      </c>
      <c r="C394" s="269">
        <v>3</v>
      </c>
      <c r="D394" s="220">
        <v>3.34</v>
      </c>
      <c r="E394" s="211"/>
      <c r="I394" s="29"/>
      <c r="J394" s="29"/>
    </row>
    <row r="395" spans="1:10" hidden="1" x14ac:dyDescent="0.2">
      <c r="A395" s="12" t="s">
        <v>17</v>
      </c>
      <c r="B395" s="182" t="s">
        <v>18</v>
      </c>
      <c r="C395" s="263">
        <f>B391</f>
        <v>0</v>
      </c>
      <c r="D395" s="220">
        <f>IFERROR(+D394/C394,"-")</f>
        <v>1.1133333333333333</v>
      </c>
      <c r="E395" s="212">
        <f>IFERROR(C395*D395,"-")</f>
        <v>0</v>
      </c>
      <c r="I395" s="29"/>
      <c r="J395" s="29"/>
    </row>
    <row r="396" spans="1:10" hidden="1" x14ac:dyDescent="0.2">
      <c r="A396" s="12" t="s">
        <v>255</v>
      </c>
      <c r="B396" s="182" t="s">
        <v>19</v>
      </c>
      <c r="C396" s="270">
        <v>6</v>
      </c>
      <c r="D396" s="212">
        <v>13</v>
      </c>
      <c r="E396" s="212"/>
      <c r="I396" s="29"/>
      <c r="J396" s="29"/>
    </row>
    <row r="397" spans="1:10" hidden="1" x14ac:dyDescent="0.2">
      <c r="A397" s="12" t="s">
        <v>20</v>
      </c>
      <c r="B397" s="182" t="s">
        <v>18</v>
      </c>
      <c r="C397" s="263">
        <f>C395</f>
        <v>0</v>
      </c>
      <c r="D397" s="221">
        <f>+C396*D396/1000</f>
        <v>7.8E-2</v>
      </c>
      <c r="E397" s="212">
        <f>C397*D397</f>
        <v>0</v>
      </c>
      <c r="I397" s="29"/>
      <c r="J397" s="29"/>
    </row>
    <row r="398" spans="1:10" hidden="1" x14ac:dyDescent="0.2">
      <c r="A398" s="12" t="s">
        <v>256</v>
      </c>
      <c r="B398" s="182" t="s">
        <v>19</v>
      </c>
      <c r="C398" s="270">
        <v>0.85</v>
      </c>
      <c r="D398" s="212">
        <v>15.8</v>
      </c>
      <c r="E398" s="212"/>
      <c r="I398" s="29"/>
      <c r="J398" s="29"/>
    </row>
    <row r="399" spans="1:10" hidden="1" x14ac:dyDescent="0.2">
      <c r="A399" s="12" t="s">
        <v>21</v>
      </c>
      <c r="B399" s="182" t="s">
        <v>18</v>
      </c>
      <c r="C399" s="263">
        <f>C395</f>
        <v>0</v>
      </c>
      <c r="D399" s="221">
        <f>+C398*D398/1000</f>
        <v>1.3429999999999999E-2</v>
      </c>
      <c r="E399" s="212">
        <f>C399*D399</f>
        <v>0</v>
      </c>
      <c r="I399" s="29"/>
      <c r="J399" s="29"/>
    </row>
    <row r="400" spans="1:10" hidden="1" x14ac:dyDescent="0.2">
      <c r="A400" s="12" t="s">
        <v>257</v>
      </c>
      <c r="B400" s="182" t="s">
        <v>19</v>
      </c>
      <c r="C400" s="270">
        <v>16</v>
      </c>
      <c r="D400" s="212">
        <v>8.25</v>
      </c>
      <c r="E400" s="212"/>
      <c r="I400" s="29"/>
      <c r="J400" s="29"/>
    </row>
    <row r="401" spans="1:10" hidden="1" x14ac:dyDescent="0.2">
      <c r="A401" s="12" t="s">
        <v>22</v>
      </c>
      <c r="B401" s="182" t="s">
        <v>18</v>
      </c>
      <c r="C401" s="263">
        <f>C395</f>
        <v>0</v>
      </c>
      <c r="D401" s="221">
        <f>+C400*D400/1000</f>
        <v>0.13200000000000001</v>
      </c>
      <c r="E401" s="212">
        <f>C401*D401</f>
        <v>0</v>
      </c>
      <c r="I401" s="29"/>
      <c r="J401" s="29"/>
    </row>
    <row r="402" spans="1:10" hidden="1" x14ac:dyDescent="0.2">
      <c r="A402" s="12" t="s">
        <v>23</v>
      </c>
      <c r="B402" s="182" t="s">
        <v>24</v>
      </c>
      <c r="C402" s="270">
        <v>2</v>
      </c>
      <c r="D402" s="212">
        <v>5.4</v>
      </c>
      <c r="E402" s="212"/>
      <c r="I402" s="29"/>
      <c r="J402" s="29"/>
    </row>
    <row r="403" spans="1:10" hidden="1" x14ac:dyDescent="0.2">
      <c r="A403" s="12" t="s">
        <v>25</v>
      </c>
      <c r="B403" s="182" t="s">
        <v>18</v>
      </c>
      <c r="C403" s="263">
        <f>C395</f>
        <v>0</v>
      </c>
      <c r="D403" s="221">
        <f>+C402*D402/1000</f>
        <v>1.0800000000000001E-2</v>
      </c>
      <c r="E403" s="212">
        <f>C403*D403</f>
        <v>0</v>
      </c>
      <c r="I403" s="29"/>
      <c r="J403" s="29"/>
    </row>
    <row r="404" spans="1:10" ht="13.5" hidden="1" thickBot="1" x14ac:dyDescent="0.25">
      <c r="A404" s="30" t="s">
        <v>277</v>
      </c>
      <c r="B404" s="191" t="s">
        <v>126</v>
      </c>
      <c r="C404" s="271"/>
      <c r="D404" s="222">
        <f>IFERROR(D395+D397+D399+D401+D403,0)</f>
        <v>1.3475633333333332</v>
      </c>
      <c r="E404" s="212"/>
      <c r="I404" s="29"/>
      <c r="J404" s="29"/>
    </row>
    <row r="405" spans="1:10" ht="13.5" hidden="1" thickBot="1" x14ac:dyDescent="0.25">
      <c r="F405" s="256">
        <f>SUM(E394:E403)</f>
        <v>0</v>
      </c>
      <c r="I405" s="29"/>
      <c r="J405" s="29"/>
    </row>
    <row r="406" spans="1:10" hidden="1" x14ac:dyDescent="0.2">
      <c r="I406" s="29"/>
      <c r="J406" s="29"/>
    </row>
    <row r="407" spans="1:10" ht="13.5" hidden="1" thickBot="1" x14ac:dyDescent="0.25">
      <c r="A407" s="5" t="s">
        <v>336</v>
      </c>
      <c r="I407" s="29"/>
      <c r="J407" s="29"/>
    </row>
    <row r="408" spans="1:10" ht="13.5" hidden="1" thickBot="1" x14ac:dyDescent="0.25">
      <c r="A408" s="22" t="s">
        <v>65</v>
      </c>
      <c r="B408" s="180" t="s">
        <v>66</v>
      </c>
      <c r="C408" s="180" t="s">
        <v>41</v>
      </c>
      <c r="D408" s="210" t="s">
        <v>254</v>
      </c>
      <c r="E408" s="210" t="s">
        <v>67</v>
      </c>
      <c r="F408" s="250" t="s">
        <v>68</v>
      </c>
      <c r="I408" s="29"/>
      <c r="J408" s="29"/>
    </row>
    <row r="409" spans="1:10" ht="13.5" hidden="1" thickBot="1" x14ac:dyDescent="0.25">
      <c r="A409" s="11" t="s">
        <v>124</v>
      </c>
      <c r="B409" s="181" t="s">
        <v>126</v>
      </c>
      <c r="C409" s="263">
        <f>C395</f>
        <v>0</v>
      </c>
      <c r="D409" s="211">
        <v>0.6</v>
      </c>
      <c r="E409" s="211">
        <f>C409*D409</f>
        <v>0</v>
      </c>
      <c r="I409" s="29"/>
      <c r="J409" s="29"/>
    </row>
    <row r="410" spans="1:10" ht="13.5" hidden="1" thickBot="1" x14ac:dyDescent="0.25">
      <c r="F410" s="256">
        <f>E409</f>
        <v>0</v>
      </c>
      <c r="I410" s="29"/>
      <c r="J410" s="29"/>
    </row>
    <row r="411" spans="1:10" hidden="1" x14ac:dyDescent="0.2">
      <c r="I411" s="29"/>
      <c r="J411" s="29"/>
    </row>
    <row r="412" spans="1:10" ht="13.5" hidden="1" thickBot="1" x14ac:dyDescent="0.25">
      <c r="A412" s="5" t="s">
        <v>337</v>
      </c>
      <c r="I412" s="29"/>
      <c r="J412" s="29"/>
    </row>
    <row r="413" spans="1:10" ht="13.5" hidden="1" thickBot="1" x14ac:dyDescent="0.25">
      <c r="A413" s="22" t="s">
        <v>65</v>
      </c>
      <c r="B413" s="180" t="s">
        <v>66</v>
      </c>
      <c r="C413" s="180" t="s">
        <v>41</v>
      </c>
      <c r="D413" s="210" t="s">
        <v>254</v>
      </c>
      <c r="E413" s="210" t="s">
        <v>67</v>
      </c>
      <c r="F413" s="250" t="s">
        <v>68</v>
      </c>
      <c r="I413" s="29"/>
      <c r="J413" s="29"/>
    </row>
    <row r="414" spans="1:10" hidden="1" x14ac:dyDescent="0.2">
      <c r="A414" s="11" t="s">
        <v>99</v>
      </c>
      <c r="B414" s="181" t="s">
        <v>10</v>
      </c>
      <c r="C414" s="181">
        <v>6</v>
      </c>
      <c r="D414" s="211">
        <v>1390</v>
      </c>
      <c r="E414" s="211">
        <f>C414*D414</f>
        <v>8340</v>
      </c>
      <c r="I414" s="29"/>
      <c r="J414" s="29"/>
    </row>
    <row r="415" spans="1:10" hidden="1" x14ac:dyDescent="0.2">
      <c r="A415" s="11" t="s">
        <v>127</v>
      </c>
      <c r="B415" s="181" t="s">
        <v>10</v>
      </c>
      <c r="C415" s="181">
        <v>2</v>
      </c>
      <c r="D415" s="211"/>
      <c r="E415" s="211"/>
      <c r="I415" s="29"/>
      <c r="J415" s="29"/>
    </row>
    <row r="416" spans="1:10" hidden="1" x14ac:dyDescent="0.2">
      <c r="A416" s="11" t="s">
        <v>73</v>
      </c>
      <c r="B416" s="181" t="s">
        <v>10</v>
      </c>
      <c r="C416" s="211">
        <f>C414*C415</f>
        <v>12</v>
      </c>
      <c r="D416" s="211">
        <v>400</v>
      </c>
      <c r="E416" s="211">
        <f>C416*D416</f>
        <v>4800</v>
      </c>
      <c r="I416" s="29"/>
      <c r="J416" s="29"/>
    </row>
    <row r="417" spans="1:10" hidden="1" x14ac:dyDescent="0.2">
      <c r="A417" s="12" t="s">
        <v>100</v>
      </c>
      <c r="B417" s="182" t="s">
        <v>26</v>
      </c>
      <c r="C417" s="272">
        <v>60000</v>
      </c>
      <c r="D417" s="212">
        <f>E414+E416</f>
        <v>13140</v>
      </c>
      <c r="E417" s="212">
        <f>IFERROR(D417/C417,"-")</f>
        <v>0.219</v>
      </c>
      <c r="I417" s="29"/>
      <c r="J417" s="29"/>
    </row>
    <row r="418" spans="1:10" ht="13.5" hidden="1" thickBot="1" x14ac:dyDescent="0.25">
      <c r="A418" s="12" t="s">
        <v>56</v>
      </c>
      <c r="B418" s="182" t="s">
        <v>18</v>
      </c>
      <c r="C418" s="263">
        <f>B391</f>
        <v>0</v>
      </c>
      <c r="D418" s="212">
        <f>E417</f>
        <v>0.219</v>
      </c>
      <c r="E418" s="212">
        <f>IFERROR(C418*D418,0)</f>
        <v>0</v>
      </c>
      <c r="I418" s="29"/>
      <c r="J418" s="29"/>
    </row>
    <row r="419" spans="1:10" ht="13.5" hidden="1" thickBot="1" x14ac:dyDescent="0.25">
      <c r="F419" s="256">
        <f>E418</f>
        <v>0</v>
      </c>
      <c r="I419" s="29"/>
      <c r="J419" s="29"/>
    </row>
    <row r="420" spans="1:10" hidden="1" x14ac:dyDescent="0.2">
      <c r="F420" s="253"/>
      <c r="I420" s="29"/>
      <c r="J420" s="29"/>
    </row>
    <row r="421" spans="1:10" hidden="1" x14ac:dyDescent="0.2">
      <c r="A421" s="5" t="s">
        <v>339</v>
      </c>
      <c r="I421" s="29"/>
      <c r="J421" s="29"/>
    </row>
    <row r="422" spans="1:10" hidden="1" x14ac:dyDescent="0.2">
      <c r="I422" s="29"/>
      <c r="J422" s="29"/>
    </row>
    <row r="423" spans="1:10" ht="13.5" hidden="1" thickBot="1" x14ac:dyDescent="0.25">
      <c r="A423" s="31" t="s">
        <v>332</v>
      </c>
      <c r="I423" s="29"/>
      <c r="J423" s="29"/>
    </row>
    <row r="424" spans="1:10" ht="13.5" hidden="1" thickBot="1" x14ac:dyDescent="0.25">
      <c r="A424" s="22" t="s">
        <v>65</v>
      </c>
      <c r="B424" s="180" t="s">
        <v>66</v>
      </c>
      <c r="C424" s="180" t="s">
        <v>41</v>
      </c>
      <c r="D424" s="210" t="s">
        <v>254</v>
      </c>
      <c r="E424" s="210" t="s">
        <v>67</v>
      </c>
      <c r="F424" s="250" t="s">
        <v>68</v>
      </c>
      <c r="I424" s="29"/>
      <c r="J424" s="29"/>
    </row>
    <row r="425" spans="1:10" hidden="1" x14ac:dyDescent="0.2">
      <c r="A425" s="11" t="s">
        <v>112</v>
      </c>
      <c r="B425" s="181" t="s">
        <v>10</v>
      </c>
      <c r="C425" s="181">
        <v>12</v>
      </c>
      <c r="D425" s="211">
        <v>1500</v>
      </c>
      <c r="E425" s="211">
        <f>C425*D425</f>
        <v>18000</v>
      </c>
      <c r="I425" s="29"/>
      <c r="J425" s="29"/>
    </row>
    <row r="426" spans="1:10" hidden="1" x14ac:dyDescent="0.2">
      <c r="A426" s="12" t="s">
        <v>106</v>
      </c>
      <c r="B426" s="182" t="s">
        <v>107</v>
      </c>
      <c r="C426" s="182">
        <v>2</v>
      </c>
      <c r="D426" s="212"/>
      <c r="E426" s="212"/>
      <c r="I426" s="29"/>
      <c r="J426" s="29"/>
    </row>
    <row r="427" spans="1:10" hidden="1" x14ac:dyDescent="0.2">
      <c r="A427" s="12" t="s">
        <v>222</v>
      </c>
      <c r="B427" s="182" t="s">
        <v>107</v>
      </c>
      <c r="C427" s="182">
        <v>0</v>
      </c>
      <c r="D427" s="212"/>
      <c r="E427" s="212"/>
      <c r="F427" s="257"/>
      <c r="I427" s="29"/>
      <c r="J427" s="29"/>
    </row>
    <row r="428" spans="1:10" hidden="1" x14ac:dyDescent="0.2">
      <c r="A428" s="12" t="s">
        <v>110</v>
      </c>
      <c r="B428" s="182" t="s">
        <v>2</v>
      </c>
      <c r="C428" s="212">
        <v>8.4</v>
      </c>
      <c r="D428" s="212">
        <f>E425</f>
        <v>18000</v>
      </c>
      <c r="E428" s="212">
        <f>C428*D428/100</f>
        <v>1512</v>
      </c>
      <c r="I428" s="29"/>
      <c r="J428" s="29"/>
    </row>
    <row r="429" spans="1:10" ht="13.5" hidden="1" thickBot="1" x14ac:dyDescent="0.25">
      <c r="A429" s="145" t="s">
        <v>51</v>
      </c>
      <c r="B429" s="190" t="s">
        <v>8</v>
      </c>
      <c r="C429" s="190">
        <f>C426*12</f>
        <v>24</v>
      </c>
      <c r="D429" s="218">
        <f>IF(C427&lt;=C426,E428,0)</f>
        <v>1512</v>
      </c>
      <c r="E429" s="218">
        <f>IFERROR(D429/C429,0)</f>
        <v>63</v>
      </c>
      <c r="I429" s="29"/>
      <c r="J429" s="29"/>
    </row>
    <row r="430" spans="1:10" ht="13.5" hidden="1" thickTop="1" x14ac:dyDescent="0.2">
      <c r="A430" s="11" t="s">
        <v>111</v>
      </c>
      <c r="B430" s="181" t="s">
        <v>10</v>
      </c>
      <c r="C430" s="181">
        <v>12</v>
      </c>
      <c r="D430" s="211"/>
      <c r="E430" s="211">
        <f>C430*D430</f>
        <v>0</v>
      </c>
      <c r="I430" s="29"/>
      <c r="J430" s="29"/>
    </row>
    <row r="431" spans="1:10" hidden="1" x14ac:dyDescent="0.2">
      <c r="A431" s="12" t="s">
        <v>108</v>
      </c>
      <c r="B431" s="182" t="s">
        <v>107</v>
      </c>
      <c r="C431" s="182">
        <v>5</v>
      </c>
      <c r="D431" s="212"/>
      <c r="E431" s="212"/>
      <c r="I431" s="29"/>
      <c r="J431" s="29"/>
    </row>
    <row r="432" spans="1:10" hidden="1" x14ac:dyDescent="0.2">
      <c r="A432" s="12" t="s">
        <v>223</v>
      </c>
      <c r="B432" s="182" t="s">
        <v>107</v>
      </c>
      <c r="C432" s="182">
        <v>3</v>
      </c>
      <c r="D432" s="212"/>
      <c r="E432" s="212"/>
      <c r="F432" s="257"/>
      <c r="I432" s="29"/>
      <c r="J432" s="29"/>
    </row>
    <row r="433" spans="1:10" hidden="1" x14ac:dyDescent="0.2">
      <c r="A433" s="12" t="s">
        <v>109</v>
      </c>
      <c r="B433" s="182" t="s">
        <v>2</v>
      </c>
      <c r="C433" s="240">
        <f>IFERROR(VLOOKUP(C431,'5. Depreciação'!A3:B17,2,FALSE),0)</f>
        <v>55.679999999999993</v>
      </c>
      <c r="D433" s="212">
        <f>E430</f>
        <v>0</v>
      </c>
      <c r="E433" s="212">
        <f>C433*D433/100</f>
        <v>0</v>
      </c>
      <c r="I433" s="29"/>
      <c r="J433" s="29"/>
    </row>
    <row r="434" spans="1:10" hidden="1" x14ac:dyDescent="0.2">
      <c r="A434" s="30" t="s">
        <v>113</v>
      </c>
      <c r="B434" s="191" t="s">
        <v>8</v>
      </c>
      <c r="C434" s="191">
        <f>C431*12</f>
        <v>60</v>
      </c>
      <c r="D434" s="219">
        <f>IF(C432&lt;=C431,E433,0)</f>
        <v>0</v>
      </c>
      <c r="E434" s="219">
        <f>IFERROR(D434/C434,0)</f>
        <v>0</v>
      </c>
      <c r="I434" s="29"/>
      <c r="J434" s="29"/>
    </row>
    <row r="435" spans="1:10" ht="13.5" hidden="1" thickTop="1" x14ac:dyDescent="0.2">
      <c r="A435" s="35" t="s">
        <v>279</v>
      </c>
      <c r="B435" s="183"/>
      <c r="C435" s="183"/>
      <c r="D435" s="213"/>
      <c r="E435" s="239">
        <f>E429+E434</f>
        <v>63</v>
      </c>
      <c r="I435" s="29"/>
      <c r="J435" s="29"/>
    </row>
    <row r="436" spans="1:10" ht="13.5" hidden="1" thickBot="1" x14ac:dyDescent="0.25">
      <c r="A436" s="30" t="s">
        <v>280</v>
      </c>
      <c r="B436" s="191" t="s">
        <v>10</v>
      </c>
      <c r="C436" s="182"/>
      <c r="D436" s="219">
        <f>E435</f>
        <v>63</v>
      </c>
      <c r="E436" s="239">
        <f>C436*D436</f>
        <v>0</v>
      </c>
      <c r="I436" s="29"/>
      <c r="J436" s="29"/>
    </row>
    <row r="437" spans="1:10" ht="13.5" hidden="1" thickBot="1" x14ac:dyDescent="0.25">
      <c r="A437" s="140"/>
      <c r="B437" s="192"/>
      <c r="C437" s="192"/>
      <c r="D437" s="214" t="s">
        <v>203</v>
      </c>
      <c r="E437" s="240">
        <v>1</v>
      </c>
      <c r="F437" s="256">
        <f>E436*E437</f>
        <v>0</v>
      </c>
      <c r="I437" s="29"/>
      <c r="J437" s="29"/>
    </row>
    <row r="438" spans="1:10" hidden="1" x14ac:dyDescent="0.2">
      <c r="I438" s="29"/>
      <c r="J438" s="29"/>
    </row>
    <row r="439" spans="1:10" ht="13.5" hidden="1" thickBot="1" x14ac:dyDescent="0.25">
      <c r="A439" s="31" t="s">
        <v>333</v>
      </c>
      <c r="I439" s="29"/>
      <c r="J439" s="29"/>
    </row>
    <row r="440" spans="1:10" ht="13.5" hidden="1" thickBot="1" x14ac:dyDescent="0.25">
      <c r="A440" s="33" t="s">
        <v>65</v>
      </c>
      <c r="B440" s="193" t="s">
        <v>66</v>
      </c>
      <c r="C440" s="193" t="s">
        <v>41</v>
      </c>
      <c r="D440" s="210" t="s">
        <v>254</v>
      </c>
      <c r="E440" s="243" t="s">
        <v>67</v>
      </c>
      <c r="F440" s="250" t="s">
        <v>68</v>
      </c>
      <c r="I440" s="29"/>
      <c r="J440" s="29"/>
    </row>
    <row r="441" spans="1:10" hidden="1" x14ac:dyDescent="0.2">
      <c r="A441" s="12" t="s">
        <v>116</v>
      </c>
      <c r="B441" s="182" t="s">
        <v>10</v>
      </c>
      <c r="C441" s="181">
        <v>1</v>
      </c>
      <c r="D441" s="212">
        <f>D425</f>
        <v>1500</v>
      </c>
      <c r="E441" s="212">
        <f>C441*D441</f>
        <v>1500</v>
      </c>
      <c r="F441" s="257"/>
      <c r="I441" s="29"/>
      <c r="J441" s="29"/>
    </row>
    <row r="442" spans="1:10" hidden="1" x14ac:dyDescent="0.2">
      <c r="A442" s="12" t="s">
        <v>226</v>
      </c>
      <c r="B442" s="182" t="s">
        <v>2</v>
      </c>
      <c r="C442" s="182">
        <v>6.5</v>
      </c>
      <c r="D442" s="212"/>
      <c r="E442" s="212"/>
      <c r="F442" s="257"/>
      <c r="I442" s="29"/>
      <c r="J442" s="29"/>
    </row>
    <row r="443" spans="1:10" hidden="1" x14ac:dyDescent="0.2">
      <c r="A443" s="12" t="s">
        <v>224</v>
      </c>
      <c r="B443" s="182" t="s">
        <v>34</v>
      </c>
      <c r="C443" s="267">
        <f>IFERROR(IF(C427&lt;=C426,E425-(C428/(100*C426)*C427)*E425,E425-E428),0)</f>
        <v>18000</v>
      </c>
      <c r="D443" s="212"/>
      <c r="E443" s="212"/>
      <c r="F443" s="257"/>
      <c r="I443" s="29"/>
      <c r="J443" s="29"/>
    </row>
    <row r="444" spans="1:10" hidden="1" x14ac:dyDescent="0.2">
      <c r="A444" s="12" t="s">
        <v>121</v>
      </c>
      <c r="B444" s="182" t="s">
        <v>34</v>
      </c>
      <c r="C444" s="212">
        <f>IFERROR(IF(C427&gt;=C426,C443,((((C443)-(E425-E428))*(((C426-C427)+1)/(2*(C426-C427))))+(E425-E428))),0)</f>
        <v>17622</v>
      </c>
      <c r="D444" s="212"/>
      <c r="E444" s="212"/>
      <c r="F444" s="257"/>
      <c r="I444" s="29"/>
      <c r="J444" s="29"/>
    </row>
    <row r="445" spans="1:10" ht="13.5" hidden="1" thickBot="1" x14ac:dyDescent="0.25">
      <c r="A445" s="145" t="s">
        <v>122</v>
      </c>
      <c r="B445" s="190" t="s">
        <v>34</v>
      </c>
      <c r="C445" s="190"/>
      <c r="D445" s="218">
        <f>C442*C444/12/100</f>
        <v>95.452500000000001</v>
      </c>
      <c r="E445" s="218">
        <f>D445</f>
        <v>95.452500000000001</v>
      </c>
      <c r="F445" s="257"/>
      <c r="I445" s="29"/>
      <c r="J445" s="29"/>
    </row>
    <row r="446" spans="1:10" ht="13.5" hidden="1" thickTop="1" x14ac:dyDescent="0.2">
      <c r="A446" s="11" t="s">
        <v>117</v>
      </c>
      <c r="B446" s="181" t="s">
        <v>10</v>
      </c>
      <c r="C446" s="181">
        <f>C430</f>
        <v>12</v>
      </c>
      <c r="D446" s="211">
        <f>D430</f>
        <v>0</v>
      </c>
      <c r="E446" s="211">
        <f>C446*D446</f>
        <v>0</v>
      </c>
      <c r="F446" s="257"/>
      <c r="I446" s="29"/>
      <c r="J446" s="29"/>
    </row>
    <row r="447" spans="1:10" hidden="1" x14ac:dyDescent="0.2">
      <c r="A447" s="12" t="s">
        <v>226</v>
      </c>
      <c r="B447" s="182" t="s">
        <v>2</v>
      </c>
      <c r="C447" s="182">
        <f>C442</f>
        <v>6.5</v>
      </c>
      <c r="D447" s="212"/>
      <c r="E447" s="212"/>
      <c r="F447" s="257"/>
      <c r="I447" s="29"/>
      <c r="J447" s="29"/>
    </row>
    <row r="448" spans="1:10" hidden="1" x14ac:dyDescent="0.2">
      <c r="A448" s="12" t="s">
        <v>225</v>
      </c>
      <c r="B448" s="182" t="s">
        <v>34</v>
      </c>
      <c r="C448" s="267">
        <f>IFERROR(IF(C432&lt;=C431,E430-(C433/(100*C431)*C432)*E430,E430-E433),0)</f>
        <v>0</v>
      </c>
      <c r="D448" s="212"/>
      <c r="E448" s="212"/>
      <c r="F448" s="257"/>
      <c r="I448" s="29"/>
      <c r="J448" s="29"/>
    </row>
    <row r="449" spans="1:10" hidden="1" x14ac:dyDescent="0.2">
      <c r="A449" s="12" t="s">
        <v>123</v>
      </c>
      <c r="B449" s="182" t="s">
        <v>34</v>
      </c>
      <c r="C449" s="212">
        <f>IFERROR(IF(C432&gt;=C431,C448,((((C448)-(E430-E433))*(((C431-C432)+1)/(2*(C431-C432))))+(E430-E433))),0)</f>
        <v>0</v>
      </c>
      <c r="D449" s="212"/>
      <c r="E449" s="212"/>
      <c r="F449" s="257"/>
      <c r="I449" s="29"/>
      <c r="J449" s="29"/>
    </row>
    <row r="450" spans="1:10" hidden="1" x14ac:dyDescent="0.2">
      <c r="A450" s="30" t="s">
        <v>120</v>
      </c>
      <c r="B450" s="191" t="s">
        <v>34</v>
      </c>
      <c r="C450" s="191"/>
      <c r="D450" s="219">
        <f>C447*C449/12/100</f>
        <v>0</v>
      </c>
      <c r="E450" s="219">
        <f>D450</f>
        <v>0</v>
      </c>
      <c r="F450" s="257"/>
      <c r="I450" s="29"/>
      <c r="J450" s="29"/>
    </row>
    <row r="451" spans="1:10" ht="13.5" hidden="1" thickTop="1" x14ac:dyDescent="0.2">
      <c r="A451" s="35" t="s">
        <v>279</v>
      </c>
      <c r="B451" s="183"/>
      <c r="C451" s="183"/>
      <c r="D451" s="213"/>
      <c r="E451" s="239">
        <f>E445+E450</f>
        <v>95.452500000000001</v>
      </c>
      <c r="F451" s="257"/>
      <c r="I451" s="29"/>
      <c r="J451" s="29"/>
    </row>
    <row r="452" spans="1:10" ht="13.5" hidden="1" thickBot="1" x14ac:dyDescent="0.25">
      <c r="A452" s="30" t="s">
        <v>280</v>
      </c>
      <c r="B452" s="191" t="s">
        <v>10</v>
      </c>
      <c r="C452" s="182"/>
      <c r="D452" s="219">
        <f>E451</f>
        <v>95.452500000000001</v>
      </c>
      <c r="E452" s="239">
        <f>C452*D452</f>
        <v>0</v>
      </c>
      <c r="F452" s="257"/>
      <c r="I452" s="29"/>
      <c r="J452" s="29"/>
    </row>
    <row r="453" spans="1:10" ht="13.5" hidden="1" thickBot="1" x14ac:dyDescent="0.25">
      <c r="C453" s="268"/>
      <c r="D453" s="214" t="s">
        <v>203</v>
      </c>
      <c r="E453" s="240">
        <v>1</v>
      </c>
      <c r="F453" s="256">
        <f>E452*E453</f>
        <v>0</v>
      </c>
      <c r="I453" s="29"/>
      <c r="J453" s="29"/>
    </row>
    <row r="454" spans="1:10" hidden="1" x14ac:dyDescent="0.2">
      <c r="I454" s="29"/>
      <c r="J454" s="29"/>
    </row>
    <row r="455" spans="1:10" ht="13.5" hidden="1" thickBot="1" x14ac:dyDescent="0.25">
      <c r="A455" s="5" t="s">
        <v>334</v>
      </c>
      <c r="I455" s="29"/>
      <c r="J455" s="29"/>
    </row>
    <row r="456" spans="1:10" ht="13.5" hidden="1" thickBot="1" x14ac:dyDescent="0.25">
      <c r="A456" s="22" t="s">
        <v>65</v>
      </c>
      <c r="B456" s="180" t="s">
        <v>66</v>
      </c>
      <c r="C456" s="180" t="s">
        <v>41</v>
      </c>
      <c r="D456" s="210" t="s">
        <v>254</v>
      </c>
      <c r="E456" s="210" t="s">
        <v>67</v>
      </c>
      <c r="F456" s="250" t="s">
        <v>68</v>
      </c>
      <c r="I456" s="29"/>
      <c r="J456" s="29"/>
    </row>
    <row r="457" spans="1:10" hidden="1" x14ac:dyDescent="0.2">
      <c r="A457" s="11" t="s">
        <v>12</v>
      </c>
      <c r="B457" s="181" t="s">
        <v>10</v>
      </c>
      <c r="C457" s="211"/>
      <c r="D457" s="211">
        <f>0.01*($E$272)</f>
        <v>2000</v>
      </c>
      <c r="E457" s="211">
        <f>C457*D457</f>
        <v>0</v>
      </c>
      <c r="I457" s="29"/>
      <c r="J457" s="29"/>
    </row>
    <row r="458" spans="1:10" hidden="1" x14ac:dyDescent="0.2">
      <c r="A458" s="12" t="s">
        <v>202</v>
      </c>
      <c r="B458" s="182" t="s">
        <v>10</v>
      </c>
      <c r="C458" s="211"/>
      <c r="D458" s="212">
        <v>150</v>
      </c>
      <c r="E458" s="212">
        <f>C458*D458</f>
        <v>0</v>
      </c>
      <c r="I458" s="29"/>
      <c r="J458" s="29"/>
    </row>
    <row r="459" spans="1:10" hidden="1" x14ac:dyDescent="0.2">
      <c r="A459" s="12" t="s">
        <v>13</v>
      </c>
      <c r="B459" s="182" t="s">
        <v>10</v>
      </c>
      <c r="C459" s="211"/>
      <c r="D459" s="212">
        <v>2200</v>
      </c>
      <c r="E459" s="212">
        <f>C459*D459</f>
        <v>0</v>
      </c>
      <c r="F459" s="253"/>
      <c r="I459" s="29"/>
      <c r="J459" s="29"/>
    </row>
    <row r="460" spans="1:10" ht="13.5" hidden="1" thickBot="1" x14ac:dyDescent="0.25">
      <c r="A460" s="30" t="s">
        <v>14</v>
      </c>
      <c r="B460" s="191" t="s">
        <v>8</v>
      </c>
      <c r="C460" s="191">
        <v>12</v>
      </c>
      <c r="D460" s="219">
        <f>SUM(E457:E459)</f>
        <v>0</v>
      </c>
      <c r="E460" s="219">
        <f>D460/C460</f>
        <v>0</v>
      </c>
      <c r="I460" s="29"/>
      <c r="J460" s="29"/>
    </row>
    <row r="461" spans="1:10" ht="13.5" hidden="1" thickBot="1" x14ac:dyDescent="0.25">
      <c r="D461" s="214" t="s">
        <v>203</v>
      </c>
      <c r="E461" s="240">
        <v>1</v>
      </c>
      <c r="F461" s="251">
        <f>E460*E461</f>
        <v>0</v>
      </c>
      <c r="I461" s="29"/>
      <c r="J461" s="29"/>
    </row>
    <row r="462" spans="1:10" hidden="1" x14ac:dyDescent="0.2">
      <c r="I462" s="29"/>
      <c r="J462" s="29"/>
    </row>
    <row r="463" spans="1:10" hidden="1" x14ac:dyDescent="0.2">
      <c r="A463" s="5" t="s">
        <v>335</v>
      </c>
      <c r="B463" s="194"/>
      <c r="I463" s="29"/>
      <c r="J463" s="29"/>
    </row>
    <row r="464" spans="1:10" hidden="1" x14ac:dyDescent="0.2">
      <c r="B464" s="194"/>
      <c r="I464" s="29"/>
      <c r="J464" s="29"/>
    </row>
    <row r="465" spans="1:10" hidden="1" x14ac:dyDescent="0.2">
      <c r="A465" s="30" t="s">
        <v>125</v>
      </c>
      <c r="B465" s="195"/>
      <c r="I465" s="29"/>
      <c r="J465" s="29"/>
    </row>
    <row r="466" spans="1:10" ht="13.5" hidden="1" thickBot="1" x14ac:dyDescent="0.25">
      <c r="B466" s="194"/>
      <c r="I466" s="29"/>
      <c r="J466" s="29"/>
    </row>
    <row r="467" spans="1:10" ht="13.5" hidden="1" thickBot="1" x14ac:dyDescent="0.25">
      <c r="A467" s="22" t="s">
        <v>65</v>
      </c>
      <c r="B467" s="180" t="s">
        <v>66</v>
      </c>
      <c r="C467" s="180" t="s">
        <v>278</v>
      </c>
      <c r="D467" s="210" t="s">
        <v>254</v>
      </c>
      <c r="E467" s="210" t="s">
        <v>67</v>
      </c>
      <c r="F467" s="250" t="s">
        <v>68</v>
      </c>
      <c r="I467" s="29"/>
      <c r="J467" s="29"/>
    </row>
    <row r="468" spans="1:10" hidden="1" x14ac:dyDescent="0.2">
      <c r="A468" s="11" t="s">
        <v>15</v>
      </c>
      <c r="B468" s="181" t="s">
        <v>16</v>
      </c>
      <c r="C468" s="269">
        <v>1.5</v>
      </c>
      <c r="D468" s="220">
        <v>3.34</v>
      </c>
      <c r="E468" s="211"/>
      <c r="I468" s="29"/>
      <c r="J468" s="29"/>
    </row>
    <row r="469" spans="1:10" hidden="1" x14ac:dyDescent="0.2">
      <c r="A469" s="12" t="s">
        <v>17</v>
      </c>
      <c r="B469" s="182" t="s">
        <v>18</v>
      </c>
      <c r="C469" s="263">
        <f>B465</f>
        <v>0</v>
      </c>
      <c r="D469" s="220">
        <f>IFERROR(+D468/C468,"-")</f>
        <v>2.2266666666666666</v>
      </c>
      <c r="E469" s="212">
        <f>IFERROR(C469*D469,"-")</f>
        <v>0</v>
      </c>
      <c r="I469" s="29"/>
      <c r="J469" s="29"/>
    </row>
    <row r="470" spans="1:10" hidden="1" x14ac:dyDescent="0.2">
      <c r="A470" s="12" t="s">
        <v>255</v>
      </c>
      <c r="B470" s="182" t="s">
        <v>19</v>
      </c>
      <c r="C470" s="270">
        <v>6</v>
      </c>
      <c r="D470" s="212">
        <v>13</v>
      </c>
      <c r="E470" s="212"/>
      <c r="I470" s="29"/>
      <c r="J470" s="29"/>
    </row>
    <row r="471" spans="1:10" hidden="1" x14ac:dyDescent="0.2">
      <c r="A471" s="12" t="s">
        <v>20</v>
      </c>
      <c r="B471" s="182" t="s">
        <v>18</v>
      </c>
      <c r="C471" s="263">
        <f>C469</f>
        <v>0</v>
      </c>
      <c r="D471" s="221">
        <f>+C470*D470/1000</f>
        <v>7.8E-2</v>
      </c>
      <c r="E471" s="212">
        <f>C471*D471</f>
        <v>0</v>
      </c>
      <c r="I471" s="29"/>
      <c r="J471" s="29"/>
    </row>
    <row r="472" spans="1:10" hidden="1" x14ac:dyDescent="0.2">
      <c r="A472" s="12" t="s">
        <v>256</v>
      </c>
      <c r="B472" s="182" t="s">
        <v>19</v>
      </c>
      <c r="C472" s="270">
        <v>0.85</v>
      </c>
      <c r="D472" s="212">
        <v>15.8</v>
      </c>
      <c r="E472" s="212"/>
      <c r="I472" s="29"/>
      <c r="J472" s="29"/>
    </row>
    <row r="473" spans="1:10" hidden="1" x14ac:dyDescent="0.2">
      <c r="A473" s="12" t="s">
        <v>21</v>
      </c>
      <c r="B473" s="182" t="s">
        <v>18</v>
      </c>
      <c r="C473" s="263">
        <f>C469</f>
        <v>0</v>
      </c>
      <c r="D473" s="221">
        <f>+C472*D472/1000</f>
        <v>1.3429999999999999E-2</v>
      </c>
      <c r="E473" s="212">
        <f>C473*D473</f>
        <v>0</v>
      </c>
      <c r="I473" s="29"/>
      <c r="J473" s="29"/>
    </row>
    <row r="474" spans="1:10" hidden="1" x14ac:dyDescent="0.2">
      <c r="A474" s="12" t="s">
        <v>257</v>
      </c>
      <c r="B474" s="182" t="s">
        <v>19</v>
      </c>
      <c r="C474" s="270">
        <v>16</v>
      </c>
      <c r="D474" s="212">
        <v>8.25</v>
      </c>
      <c r="E474" s="212"/>
      <c r="I474" s="29"/>
      <c r="J474" s="29"/>
    </row>
    <row r="475" spans="1:10" hidden="1" x14ac:dyDescent="0.2">
      <c r="A475" s="12" t="s">
        <v>22</v>
      </c>
      <c r="B475" s="182" t="s">
        <v>18</v>
      </c>
      <c r="C475" s="263">
        <f>C469</f>
        <v>0</v>
      </c>
      <c r="D475" s="221">
        <f>+C474*D474/1000</f>
        <v>0.13200000000000001</v>
      </c>
      <c r="E475" s="212">
        <f>C475*D475</f>
        <v>0</v>
      </c>
      <c r="I475" s="29"/>
      <c r="J475" s="29"/>
    </row>
    <row r="476" spans="1:10" hidden="1" x14ac:dyDescent="0.2">
      <c r="A476" s="12" t="s">
        <v>23</v>
      </c>
      <c r="B476" s="182" t="s">
        <v>24</v>
      </c>
      <c r="C476" s="270">
        <v>2</v>
      </c>
      <c r="D476" s="212">
        <v>5.4</v>
      </c>
      <c r="E476" s="212"/>
      <c r="I476" s="29"/>
      <c r="J476" s="29"/>
    </row>
    <row r="477" spans="1:10" hidden="1" x14ac:dyDescent="0.2">
      <c r="A477" s="12" t="s">
        <v>25</v>
      </c>
      <c r="B477" s="182" t="s">
        <v>18</v>
      </c>
      <c r="C477" s="263">
        <f>C469</f>
        <v>0</v>
      </c>
      <c r="D477" s="221">
        <f>+C476*D476/1000</f>
        <v>1.0800000000000001E-2</v>
      </c>
      <c r="E477" s="212">
        <f>C477*D477</f>
        <v>0</v>
      </c>
      <c r="I477" s="29"/>
      <c r="J477" s="29"/>
    </row>
    <row r="478" spans="1:10" ht="13.5" hidden="1" thickBot="1" x14ac:dyDescent="0.25">
      <c r="A478" s="30" t="s">
        <v>277</v>
      </c>
      <c r="B478" s="191" t="s">
        <v>126</v>
      </c>
      <c r="C478" s="271"/>
      <c r="D478" s="222">
        <f>IFERROR(D469+D471+D473+D475+D477,0)</f>
        <v>2.4608966666666667</v>
      </c>
      <c r="E478" s="212"/>
      <c r="I478" s="29"/>
      <c r="J478" s="29"/>
    </row>
    <row r="479" spans="1:10" ht="13.5" hidden="1" thickBot="1" x14ac:dyDescent="0.25">
      <c r="F479" s="256">
        <f>SUM(E468:E477)</f>
        <v>0</v>
      </c>
      <c r="I479" s="29"/>
      <c r="J479" s="29"/>
    </row>
    <row r="480" spans="1:10" hidden="1" x14ac:dyDescent="0.2">
      <c r="I480" s="29"/>
      <c r="J480" s="29"/>
    </row>
    <row r="481" spans="1:10" ht="13.5" hidden="1" thickBot="1" x14ac:dyDescent="0.25">
      <c r="A481" s="5" t="s">
        <v>340</v>
      </c>
      <c r="I481" s="29"/>
      <c r="J481" s="29"/>
    </row>
    <row r="482" spans="1:10" ht="13.5" hidden="1" thickBot="1" x14ac:dyDescent="0.25">
      <c r="A482" s="22" t="s">
        <v>65</v>
      </c>
      <c r="B482" s="180" t="s">
        <v>66</v>
      </c>
      <c r="C482" s="180" t="s">
        <v>41</v>
      </c>
      <c r="D482" s="210" t="s">
        <v>254</v>
      </c>
      <c r="E482" s="210" t="s">
        <v>67</v>
      </c>
      <c r="F482" s="250" t="s">
        <v>68</v>
      </c>
      <c r="I482" s="29"/>
      <c r="J482" s="29"/>
    </row>
    <row r="483" spans="1:10" ht="13.5" hidden="1" thickBot="1" x14ac:dyDescent="0.25">
      <c r="A483" s="163" t="s">
        <v>341</v>
      </c>
      <c r="B483" s="275" t="s">
        <v>66</v>
      </c>
      <c r="C483" s="263"/>
      <c r="D483" s="211">
        <v>150</v>
      </c>
      <c r="E483" s="211">
        <f>C483*D483</f>
        <v>0</v>
      </c>
      <c r="I483" s="29"/>
      <c r="J483" s="29"/>
    </row>
    <row r="484" spans="1:10" ht="13.5" hidden="1" thickBot="1" x14ac:dyDescent="0.25">
      <c r="F484" s="256">
        <f>E483</f>
        <v>0</v>
      </c>
      <c r="I484" s="29"/>
      <c r="J484" s="29"/>
    </row>
    <row r="485" spans="1:10" hidden="1" x14ac:dyDescent="0.2">
      <c r="I485" s="29"/>
      <c r="J485" s="29"/>
    </row>
    <row r="486" spans="1:10" ht="13.5" hidden="1" thickBot="1" x14ac:dyDescent="0.25">
      <c r="A486" s="5" t="s">
        <v>337</v>
      </c>
      <c r="I486" s="29"/>
      <c r="J486" s="29"/>
    </row>
    <row r="487" spans="1:10" ht="13.5" hidden="1" thickBot="1" x14ac:dyDescent="0.25">
      <c r="A487" s="22" t="s">
        <v>65</v>
      </c>
      <c r="B487" s="180" t="s">
        <v>66</v>
      </c>
      <c r="C487" s="180" t="s">
        <v>41</v>
      </c>
      <c r="D487" s="210" t="s">
        <v>254</v>
      </c>
      <c r="E487" s="210" t="s">
        <v>67</v>
      </c>
      <c r="F487" s="250" t="s">
        <v>68</v>
      </c>
      <c r="I487" s="29"/>
      <c r="J487" s="29"/>
    </row>
    <row r="488" spans="1:10" hidden="1" x14ac:dyDescent="0.2">
      <c r="A488" s="11" t="s">
        <v>99</v>
      </c>
      <c r="B488" s="181" t="s">
        <v>10</v>
      </c>
      <c r="C488" s="181">
        <v>22</v>
      </c>
      <c r="D488" s="211">
        <v>1450</v>
      </c>
      <c r="E488" s="211">
        <f>C488*D488</f>
        <v>31900</v>
      </c>
      <c r="I488" s="29"/>
      <c r="J488" s="29"/>
    </row>
    <row r="489" spans="1:10" hidden="1" x14ac:dyDescent="0.2">
      <c r="A489" s="11" t="s">
        <v>127</v>
      </c>
      <c r="B489" s="181" t="s">
        <v>10</v>
      </c>
      <c r="C489" s="181">
        <v>2</v>
      </c>
      <c r="D489" s="211"/>
      <c r="E489" s="211"/>
      <c r="I489" s="29"/>
      <c r="J489" s="29"/>
    </row>
    <row r="490" spans="1:10" hidden="1" x14ac:dyDescent="0.2">
      <c r="A490" s="11" t="s">
        <v>73</v>
      </c>
      <c r="B490" s="181" t="s">
        <v>10</v>
      </c>
      <c r="C490" s="211">
        <f>C488*C489</f>
        <v>44</v>
      </c>
      <c r="D490" s="211">
        <v>450</v>
      </c>
      <c r="E490" s="211">
        <f>C490*D490</f>
        <v>19800</v>
      </c>
      <c r="I490" s="29"/>
      <c r="J490" s="29"/>
    </row>
    <row r="491" spans="1:10" hidden="1" x14ac:dyDescent="0.2">
      <c r="A491" s="12" t="s">
        <v>100</v>
      </c>
      <c r="B491" s="182" t="s">
        <v>26</v>
      </c>
      <c r="C491" s="272">
        <v>60000</v>
      </c>
      <c r="D491" s="212">
        <f>E488+E490</f>
        <v>51700</v>
      </c>
      <c r="E491" s="212">
        <f>IFERROR(D491/C491,"-")</f>
        <v>0.86166666666666669</v>
      </c>
      <c r="I491" s="29"/>
      <c r="J491" s="29"/>
    </row>
    <row r="492" spans="1:10" ht="13.5" hidden="1" thickBot="1" x14ac:dyDescent="0.25">
      <c r="A492" s="12" t="s">
        <v>56</v>
      </c>
      <c r="B492" s="182" t="s">
        <v>18</v>
      </c>
      <c r="C492" s="263">
        <f>B465</f>
        <v>0</v>
      </c>
      <c r="D492" s="212">
        <f>E491</f>
        <v>0.86166666666666669</v>
      </c>
      <c r="E492" s="212">
        <f>IFERROR(C492*D492,0)</f>
        <v>0</v>
      </c>
      <c r="I492" s="29"/>
      <c r="J492" s="29"/>
    </row>
    <row r="493" spans="1:10" ht="13.5" hidden="1" thickBot="1" x14ac:dyDescent="0.25">
      <c r="F493" s="256">
        <f>E492</f>
        <v>0</v>
      </c>
      <c r="I493" s="29"/>
      <c r="J493" s="29"/>
    </row>
    <row r="494" spans="1:10" hidden="1" x14ac:dyDescent="0.2">
      <c r="F494" s="253"/>
      <c r="I494" s="29"/>
      <c r="J494" s="29"/>
    </row>
    <row r="495" spans="1:10" ht="11.25" hidden="1" customHeight="1" thickBot="1" x14ac:dyDescent="0.25">
      <c r="G495" s="7"/>
    </row>
    <row r="496" spans="1:10" ht="13.5" thickBot="1" x14ac:dyDescent="0.25">
      <c r="A496" s="13" t="s">
        <v>241</v>
      </c>
      <c r="B496" s="186"/>
      <c r="C496" s="186"/>
      <c r="D496" s="206"/>
      <c r="E496" s="241"/>
      <c r="F496" s="256">
        <f>+SUM(F272:F495)</f>
        <v>16009.109333333336</v>
      </c>
      <c r="G496" s="7"/>
    </row>
    <row r="497" spans="1:7" ht="11.25" customHeight="1" x14ac:dyDescent="0.2">
      <c r="G497" s="7"/>
    </row>
    <row r="498" spans="1:7" x14ac:dyDescent="0.2">
      <c r="A498" s="9" t="s">
        <v>77</v>
      </c>
      <c r="B498" s="196"/>
      <c r="C498" s="196"/>
      <c r="D498" s="223"/>
      <c r="E498" s="223"/>
      <c r="F498" s="253"/>
      <c r="G498" s="7"/>
    </row>
    <row r="499" spans="1:7" ht="11.25" customHeight="1" thickBot="1" x14ac:dyDescent="0.25">
      <c r="G499" s="7"/>
    </row>
    <row r="500" spans="1:7" ht="13.5" thickBot="1" x14ac:dyDescent="0.25">
      <c r="A500" s="22" t="s">
        <v>65</v>
      </c>
      <c r="B500" s="180" t="s">
        <v>66</v>
      </c>
      <c r="C500" s="180" t="s">
        <v>41</v>
      </c>
      <c r="D500" s="210" t="s">
        <v>254</v>
      </c>
      <c r="E500" s="210" t="s">
        <v>67</v>
      </c>
      <c r="F500" s="250" t="s">
        <v>68</v>
      </c>
      <c r="G500" s="7"/>
    </row>
    <row r="501" spans="1:7" x14ac:dyDescent="0.2">
      <c r="A501" s="12" t="s">
        <v>74</v>
      </c>
      <c r="B501" s="182" t="s">
        <v>10</v>
      </c>
      <c r="C501" s="266">
        <v>0.16666666666666666</v>
      </c>
      <c r="D501" s="211">
        <v>63</v>
      </c>
      <c r="E501" s="212">
        <f>C501*D501</f>
        <v>10.5</v>
      </c>
      <c r="F501" s="258"/>
      <c r="G501" s="7"/>
    </row>
    <row r="502" spans="1:7" x14ac:dyDescent="0.2">
      <c r="A502" s="12" t="s">
        <v>27</v>
      </c>
      <c r="B502" s="182" t="s">
        <v>10</v>
      </c>
      <c r="C502" s="266">
        <v>1</v>
      </c>
      <c r="D502" s="211">
        <v>19.8</v>
      </c>
      <c r="E502" s="212">
        <f>C502*D502</f>
        <v>19.8</v>
      </c>
      <c r="F502" s="258"/>
      <c r="G502" s="7"/>
    </row>
    <row r="503" spans="1:7" x14ac:dyDescent="0.2">
      <c r="A503" s="12" t="s">
        <v>28</v>
      </c>
      <c r="B503" s="182" t="s">
        <v>10</v>
      </c>
      <c r="C503" s="266">
        <v>1</v>
      </c>
      <c r="D503" s="211">
        <v>18.7</v>
      </c>
      <c r="E503" s="212">
        <f>C503*D503</f>
        <v>18.7</v>
      </c>
      <c r="F503" s="258"/>
      <c r="G503" s="7"/>
    </row>
    <row r="504" spans="1:7" x14ac:dyDescent="0.2">
      <c r="A504" s="12" t="s">
        <v>58</v>
      </c>
      <c r="B504" s="182" t="s">
        <v>59</v>
      </c>
      <c r="C504" s="266">
        <v>0.16666666666666666</v>
      </c>
      <c r="D504" s="211">
        <v>650</v>
      </c>
      <c r="E504" s="212">
        <f>C504*D504</f>
        <v>108.33333333333333</v>
      </c>
      <c r="F504" s="258"/>
      <c r="G504" s="7"/>
    </row>
    <row r="505" spans="1:7" ht="13.5" thickBot="1" x14ac:dyDescent="0.25">
      <c r="A505" s="12" t="s">
        <v>61</v>
      </c>
      <c r="B505" s="182" t="s">
        <v>59</v>
      </c>
      <c r="C505" s="266">
        <v>0.16666666666666666</v>
      </c>
      <c r="D505" s="211">
        <v>100</v>
      </c>
      <c r="E505" s="212">
        <f>C505*D505</f>
        <v>16.666666666666664</v>
      </c>
      <c r="F505" s="258"/>
      <c r="G505" s="7"/>
    </row>
    <row r="506" spans="1:7" ht="13.5" thickBot="1" x14ac:dyDescent="0.25">
      <c r="A506" s="9"/>
      <c r="B506" s="196"/>
      <c r="C506" s="196"/>
      <c r="D506" s="196"/>
      <c r="E506" s="223"/>
      <c r="F506" s="256">
        <f>SUM(E501:E505)</f>
        <v>173.99999999999997</v>
      </c>
      <c r="G506" s="7"/>
    </row>
    <row r="507" spans="1:7" ht="11.25" customHeight="1" thickBot="1" x14ac:dyDescent="0.25">
      <c r="G507" s="7"/>
    </row>
    <row r="508" spans="1:7" ht="13.5" thickBot="1" x14ac:dyDescent="0.25">
      <c r="A508" s="13" t="s">
        <v>242</v>
      </c>
      <c r="B508" s="186"/>
      <c r="C508" s="186"/>
      <c r="D508" s="206"/>
      <c r="E508" s="241"/>
      <c r="F508" s="256">
        <f>+F506</f>
        <v>173.99999999999997</v>
      </c>
      <c r="G508" s="7"/>
    </row>
    <row r="509" spans="1:7" ht="11.25" customHeight="1" x14ac:dyDescent="0.2">
      <c r="G509" s="7"/>
    </row>
    <row r="510" spans="1:7" x14ac:dyDescent="0.2">
      <c r="A510" s="9" t="s">
        <v>78</v>
      </c>
      <c r="B510" s="196"/>
      <c r="C510" s="196"/>
      <c r="D510" s="223"/>
      <c r="E510" s="223"/>
      <c r="F510" s="253"/>
    </row>
    <row r="511" spans="1:7" ht="11.25" customHeight="1" thickBot="1" x14ac:dyDescent="0.25"/>
    <row r="512" spans="1:7" ht="13.5" thickBot="1" x14ac:dyDescent="0.25">
      <c r="A512" s="22" t="s">
        <v>65</v>
      </c>
      <c r="B512" s="180" t="s">
        <v>66</v>
      </c>
      <c r="C512" s="180" t="s">
        <v>41</v>
      </c>
      <c r="D512" s="210" t="s">
        <v>254</v>
      </c>
      <c r="E512" s="210" t="s">
        <v>67</v>
      </c>
      <c r="F512" s="250" t="s">
        <v>68</v>
      </c>
    </row>
    <row r="513" spans="1:7" hidden="1" x14ac:dyDescent="0.2">
      <c r="A513" s="12" t="s">
        <v>239</v>
      </c>
      <c r="B513" s="197" t="s">
        <v>59</v>
      </c>
      <c r="C513" s="262">
        <f>C272</f>
        <v>1</v>
      </c>
      <c r="D513" s="212"/>
      <c r="E513" s="212">
        <f>+D513*C513</f>
        <v>0</v>
      </c>
      <c r="F513" s="258"/>
    </row>
    <row r="514" spans="1:7" hidden="1" x14ac:dyDescent="0.2">
      <c r="A514" s="12" t="s">
        <v>62</v>
      </c>
      <c r="B514" s="197" t="s">
        <v>8</v>
      </c>
      <c r="C514" s="182">
        <v>60</v>
      </c>
      <c r="D514" s="224">
        <f>SUM(E513:E513)</f>
        <v>0</v>
      </c>
      <c r="E514" s="224">
        <f>+D514/C514</f>
        <v>0</v>
      </c>
      <c r="F514" s="258"/>
    </row>
    <row r="515" spans="1:7" x14ac:dyDescent="0.2">
      <c r="A515" s="12" t="s">
        <v>240</v>
      </c>
      <c r="B515" s="182" t="s">
        <v>10</v>
      </c>
      <c r="C515" s="262">
        <f>+C513</f>
        <v>1</v>
      </c>
      <c r="D515" s="212">
        <v>140</v>
      </c>
      <c r="E515" s="212">
        <f>C515*D515</f>
        <v>140</v>
      </c>
      <c r="F515" s="258"/>
    </row>
    <row r="516" spans="1:7" ht="13.5" thickBot="1" x14ac:dyDescent="0.25">
      <c r="A516" s="12" t="s">
        <v>38</v>
      </c>
      <c r="B516" s="197" t="s">
        <v>8</v>
      </c>
      <c r="C516" s="182">
        <v>1</v>
      </c>
      <c r="D516" s="224">
        <f>+E515</f>
        <v>140</v>
      </c>
      <c r="E516" s="224">
        <f>+D516/C516</f>
        <v>140</v>
      </c>
      <c r="F516" s="258"/>
    </row>
    <row r="517" spans="1:7" ht="13.5" thickBot="1" x14ac:dyDescent="0.25">
      <c r="A517" s="10"/>
      <c r="B517" s="198"/>
      <c r="C517" s="198"/>
      <c r="D517" s="214" t="s">
        <v>203</v>
      </c>
      <c r="E517" s="240">
        <f>$B$73</f>
        <v>1</v>
      </c>
      <c r="F517" s="256">
        <f>(E514+E516)*E517</f>
        <v>140</v>
      </c>
    </row>
    <row r="518" spans="1:7" s="19" customFormat="1" ht="11.25" customHeight="1" thickBot="1" x14ac:dyDescent="0.25">
      <c r="A518" s="7"/>
      <c r="B518" s="165"/>
      <c r="C518" s="165"/>
      <c r="D518" s="200"/>
      <c r="E518" s="200"/>
      <c r="F518" s="200"/>
      <c r="G518" s="28"/>
    </row>
    <row r="519" spans="1:7" ht="13.5" thickBot="1" x14ac:dyDescent="0.25">
      <c r="A519" s="13" t="s">
        <v>238</v>
      </c>
      <c r="B519" s="186"/>
      <c r="C519" s="186"/>
      <c r="D519" s="206"/>
      <c r="E519" s="241"/>
      <c r="F519" s="256">
        <f>+F517</f>
        <v>140</v>
      </c>
    </row>
    <row r="520" spans="1:7" x14ac:dyDescent="0.2">
      <c r="A520" s="9"/>
      <c r="B520" s="196"/>
      <c r="C520" s="196"/>
      <c r="D520" s="223"/>
      <c r="E520" s="223"/>
      <c r="F520" s="253"/>
    </row>
    <row r="521" spans="1:7" x14ac:dyDescent="0.2">
      <c r="A521" s="9" t="s">
        <v>319</v>
      </c>
      <c r="B521" s="196"/>
      <c r="C521" s="196"/>
      <c r="D521" s="223"/>
      <c r="E521" s="223"/>
      <c r="F521" s="253"/>
    </row>
    <row r="522" spans="1:7" ht="13.5" thickBot="1" x14ac:dyDescent="0.25"/>
    <row r="523" spans="1:7" ht="13.5" thickBot="1" x14ac:dyDescent="0.25">
      <c r="A523" s="22" t="s">
        <v>65</v>
      </c>
      <c r="B523" s="180" t="s">
        <v>66</v>
      </c>
      <c r="C523" s="180" t="s">
        <v>41</v>
      </c>
      <c r="D523" s="210" t="s">
        <v>254</v>
      </c>
      <c r="E523" s="210" t="s">
        <v>67</v>
      </c>
      <c r="F523" s="250" t="s">
        <v>68</v>
      </c>
    </row>
    <row r="524" spans="1:7" x14ac:dyDescent="0.2">
      <c r="A524" s="164"/>
      <c r="B524" s="197" t="s">
        <v>8</v>
      </c>
      <c r="C524" s="262">
        <v>0</v>
      </c>
      <c r="D524" s="212">
        <v>0</v>
      </c>
      <c r="E524" s="212">
        <f>+D524*C524</f>
        <v>0</v>
      </c>
      <c r="F524" s="258"/>
    </row>
    <row r="525" spans="1:7" x14ac:dyDescent="0.2">
      <c r="A525" s="164" t="s">
        <v>320</v>
      </c>
      <c r="B525" s="197" t="s">
        <v>8</v>
      </c>
      <c r="C525" s="182">
        <v>1.2</v>
      </c>
      <c r="D525" s="224">
        <v>104</v>
      </c>
      <c r="E525" s="224">
        <f>+D525*C525</f>
        <v>124.8</v>
      </c>
      <c r="F525" s="258"/>
    </row>
    <row r="526" spans="1:7" s="5" customFormat="1" x14ac:dyDescent="0.2">
      <c r="A526" s="164"/>
      <c r="B526" s="276" t="s">
        <v>126</v>
      </c>
      <c r="C526" s="274">
        <v>0</v>
      </c>
      <c r="D526" s="224">
        <v>0</v>
      </c>
      <c r="E526" s="224">
        <f>C526*D526</f>
        <v>0</v>
      </c>
      <c r="F526" s="259"/>
      <c r="G526" s="277"/>
    </row>
    <row r="527" spans="1:7" ht="13.5" thickBot="1" x14ac:dyDescent="0.25">
      <c r="A527" s="164" t="s">
        <v>321</v>
      </c>
      <c r="B527" s="197" t="s">
        <v>8</v>
      </c>
      <c r="C527" s="182"/>
      <c r="D527" s="224">
        <f>E524+E525+E526</f>
        <v>124.8</v>
      </c>
      <c r="E527" s="224"/>
      <c r="F527" s="258"/>
    </row>
    <row r="528" spans="1:7" ht="13.5" thickBot="1" x14ac:dyDescent="0.25">
      <c r="A528" s="10"/>
      <c r="B528" s="198"/>
      <c r="C528" s="198"/>
      <c r="D528" s="214" t="s">
        <v>203</v>
      </c>
      <c r="E528" s="240">
        <f>$B$73</f>
        <v>1</v>
      </c>
      <c r="F528" s="256">
        <f>D527</f>
        <v>124.8</v>
      </c>
    </row>
    <row r="529" spans="1:6" ht="13.5" thickBot="1" x14ac:dyDescent="0.25"/>
    <row r="530" spans="1:6" ht="13.5" thickBot="1" x14ac:dyDescent="0.25">
      <c r="A530" s="13" t="s">
        <v>322</v>
      </c>
      <c r="B530" s="186"/>
      <c r="C530" s="186"/>
      <c r="D530" s="206"/>
      <c r="E530" s="241"/>
      <c r="F530" s="256">
        <f>+F528</f>
        <v>124.8</v>
      </c>
    </row>
    <row r="531" spans="1:6" ht="13.5" thickBot="1" x14ac:dyDescent="0.25">
      <c r="A531" s="9"/>
      <c r="B531" s="196"/>
      <c r="C531" s="196"/>
      <c r="D531" s="223"/>
      <c r="E531" s="223"/>
      <c r="F531" s="253"/>
    </row>
    <row r="532" spans="1:6" hidden="1" x14ac:dyDescent="0.2">
      <c r="A532" s="9" t="s">
        <v>330</v>
      </c>
      <c r="B532" s="196"/>
      <c r="C532" s="196"/>
      <c r="D532" s="223"/>
      <c r="E532" s="223"/>
      <c r="F532" s="253"/>
    </row>
    <row r="533" spans="1:6" ht="13.5" hidden="1" thickBot="1" x14ac:dyDescent="0.25"/>
    <row r="534" spans="1:6" ht="13.5" hidden="1" thickBot="1" x14ac:dyDescent="0.25">
      <c r="A534" s="22" t="s">
        <v>65</v>
      </c>
      <c r="B534" s="180" t="s">
        <v>66</v>
      </c>
      <c r="C534" s="180" t="s">
        <v>41</v>
      </c>
      <c r="D534" s="210" t="s">
        <v>254</v>
      </c>
      <c r="E534" s="210" t="s">
        <v>67</v>
      </c>
      <c r="F534" s="250" t="s">
        <v>68</v>
      </c>
    </row>
    <row r="535" spans="1:6" hidden="1" x14ac:dyDescent="0.2">
      <c r="A535" s="164" t="s">
        <v>327</v>
      </c>
      <c r="B535" s="197" t="s">
        <v>284</v>
      </c>
      <c r="C535" s="273"/>
      <c r="D535" s="225">
        <v>84</v>
      </c>
      <c r="E535" s="225">
        <f>D535*C535</f>
        <v>0</v>
      </c>
      <c r="F535" s="259"/>
    </row>
    <row r="536" spans="1:6" ht="13.5" hidden="1" thickBot="1" x14ac:dyDescent="0.25">
      <c r="A536" s="164" t="s">
        <v>328</v>
      </c>
      <c r="B536" s="197" t="s">
        <v>8</v>
      </c>
      <c r="C536" s="274">
        <v>1</v>
      </c>
      <c r="D536" s="224">
        <f>E535</f>
        <v>0</v>
      </c>
      <c r="E536" s="224">
        <f>E535</f>
        <v>0</v>
      </c>
      <c r="F536" s="259"/>
    </row>
    <row r="537" spans="1:6" ht="13.5" hidden="1" thickBot="1" x14ac:dyDescent="0.25">
      <c r="A537" s="10"/>
      <c r="B537" s="198"/>
      <c r="C537" s="198"/>
      <c r="D537" s="214" t="s">
        <v>203</v>
      </c>
      <c r="E537" s="240">
        <f>$B$73</f>
        <v>1</v>
      </c>
      <c r="F537" s="256">
        <f>E536</f>
        <v>0</v>
      </c>
    </row>
    <row r="538" spans="1:6" ht="13.5" hidden="1" thickBot="1" x14ac:dyDescent="0.25"/>
    <row r="539" spans="1:6" ht="13.5" hidden="1" thickBot="1" x14ac:dyDescent="0.25">
      <c r="A539" s="13" t="s">
        <v>329</v>
      </c>
      <c r="B539" s="186"/>
      <c r="C539" s="186"/>
      <c r="D539" s="206"/>
      <c r="E539" s="241"/>
      <c r="F539" s="256">
        <f>+F537</f>
        <v>0</v>
      </c>
    </row>
    <row r="540" spans="1:6" hidden="1" x14ac:dyDescent="0.2">
      <c r="A540" s="9"/>
      <c r="B540" s="196"/>
      <c r="C540" s="196"/>
      <c r="D540" s="223"/>
      <c r="E540" s="223"/>
      <c r="F540" s="253"/>
    </row>
    <row r="541" spans="1:6" ht="11.25" hidden="1" customHeight="1" thickBot="1" x14ac:dyDescent="0.25"/>
    <row r="542" spans="1:6" ht="17.25" customHeight="1" thickBot="1" x14ac:dyDescent="0.25">
      <c r="A542" s="13" t="s">
        <v>243</v>
      </c>
      <c r="B542" s="188"/>
      <c r="C542" s="188"/>
      <c r="D542" s="217"/>
      <c r="E542" s="242"/>
      <c r="F542" s="254">
        <f>+F230+F264+F496+F508+F519+F539+F530</f>
        <v>30385.218631200001</v>
      </c>
    </row>
    <row r="543" spans="1:6" ht="11.25" customHeight="1" x14ac:dyDescent="0.2"/>
    <row r="544" spans="1:6" x14ac:dyDescent="0.2">
      <c r="A544" s="9" t="s">
        <v>344</v>
      </c>
    </row>
    <row r="545" spans="1:7" ht="11.25" customHeight="1" thickBot="1" x14ac:dyDescent="0.25"/>
    <row r="546" spans="1:7" ht="13.5" thickBot="1" x14ac:dyDescent="0.25">
      <c r="A546" s="22" t="s">
        <v>65</v>
      </c>
      <c r="B546" s="180" t="s">
        <v>66</v>
      </c>
      <c r="C546" s="180" t="s">
        <v>41</v>
      </c>
      <c r="D546" s="210" t="s">
        <v>254</v>
      </c>
      <c r="E546" s="210" t="s">
        <v>67</v>
      </c>
      <c r="F546" s="250" t="s">
        <v>68</v>
      </c>
    </row>
    <row r="547" spans="1:7" ht="13.5" thickBot="1" x14ac:dyDescent="0.25">
      <c r="A547" s="11" t="s">
        <v>37</v>
      </c>
      <c r="B547" s="181" t="s">
        <v>2</v>
      </c>
      <c r="C547" s="212">
        <f>'4.BDI'!C18*100</f>
        <v>15.870000000000001</v>
      </c>
      <c r="D547" s="211">
        <f>+F542</f>
        <v>30385.218631200001</v>
      </c>
      <c r="E547" s="211">
        <f>C547*D547/100</f>
        <v>4822.1341967714407</v>
      </c>
    </row>
    <row r="548" spans="1:7" ht="13.5" thickBot="1" x14ac:dyDescent="0.25">
      <c r="F548" s="256">
        <f>+E547</f>
        <v>4822.1341967714407</v>
      </c>
    </row>
    <row r="549" spans="1:7" ht="11.25" customHeight="1" thickBot="1" x14ac:dyDescent="0.25"/>
    <row r="550" spans="1:7" ht="13.5" thickBot="1" x14ac:dyDescent="0.25">
      <c r="A550" s="13" t="s">
        <v>259</v>
      </c>
      <c r="B550" s="188"/>
      <c r="C550" s="188"/>
      <c r="D550" s="217"/>
      <c r="E550" s="242"/>
      <c r="F550" s="254">
        <f>F548</f>
        <v>4822.1341967714407</v>
      </c>
    </row>
    <row r="551" spans="1:7" ht="13.5" thickBot="1" x14ac:dyDescent="0.25">
      <c r="A551" s="9"/>
      <c r="B551" s="196"/>
      <c r="C551" s="196"/>
      <c r="D551" s="223"/>
      <c r="E551" s="223"/>
      <c r="F551" s="253"/>
    </row>
    <row r="552" spans="1:7" ht="11.25" hidden="1" customHeight="1" thickBot="1" x14ac:dyDescent="0.25"/>
    <row r="553" spans="1:7" ht="24.75" customHeight="1" thickBot="1" x14ac:dyDescent="0.25">
      <c r="A553" s="13" t="s">
        <v>244</v>
      </c>
      <c r="B553" s="188"/>
      <c r="C553" s="188"/>
      <c r="D553" s="217"/>
      <c r="E553" s="242"/>
      <c r="F553" s="254">
        <f>F542+F550</f>
        <v>35207.352827971445</v>
      </c>
    </row>
    <row r="554" spans="1:7" ht="12.6" customHeight="1" x14ac:dyDescent="0.2">
      <c r="A554" s="20"/>
      <c r="B554" s="199"/>
      <c r="C554" s="199"/>
      <c r="D554" s="226"/>
      <c r="E554" s="226"/>
      <c r="F554" s="226"/>
    </row>
    <row r="555" spans="1:7" ht="13.5" customHeight="1" x14ac:dyDescent="0.2">
      <c r="A555" s="283" t="s">
        <v>351</v>
      </c>
      <c r="B555" s="303">
        <v>10</v>
      </c>
      <c r="C555" s="284"/>
      <c r="D555" s="285"/>
      <c r="E555" s="285"/>
      <c r="F555" s="286"/>
    </row>
    <row r="556" spans="1:7" ht="13.5" customHeight="1" x14ac:dyDescent="0.2">
      <c r="A556" s="283" t="s">
        <v>345</v>
      </c>
      <c r="B556" s="303">
        <v>1</v>
      </c>
      <c r="C556" s="284"/>
      <c r="D556" s="285"/>
      <c r="E556" s="285"/>
      <c r="F556" s="286"/>
    </row>
    <row r="557" spans="1:7" ht="13.5" customHeight="1" x14ac:dyDescent="0.2">
      <c r="A557" s="283" t="s">
        <v>348</v>
      </c>
      <c r="B557" s="303">
        <v>26</v>
      </c>
      <c r="C557" s="284"/>
      <c r="D557" s="285"/>
      <c r="E557" s="285"/>
      <c r="F557" s="286"/>
    </row>
    <row r="558" spans="1:7" ht="16.149999999999999" customHeight="1" x14ac:dyDescent="0.2">
      <c r="A558" s="287" t="s">
        <v>346</v>
      </c>
      <c r="B558" s="288"/>
      <c r="C558" s="288"/>
      <c r="D558" s="289">
        <f>B555*B556*B557</f>
        <v>260</v>
      </c>
      <c r="E558" s="290" t="s">
        <v>347</v>
      </c>
      <c r="F558" s="286"/>
      <c r="G558" s="8" t="s">
        <v>214</v>
      </c>
    </row>
    <row r="559" spans="1:7" ht="13.5" thickBot="1" x14ac:dyDescent="0.25">
      <c r="A559" s="291"/>
      <c r="B559" s="291"/>
      <c r="C559" s="291"/>
      <c r="D559" s="286"/>
      <c r="E559" s="286"/>
      <c r="F559" s="286"/>
    </row>
    <row r="560" spans="1:7" ht="25.5" customHeight="1" thickBot="1" x14ac:dyDescent="0.25">
      <c r="A560" s="292" t="s">
        <v>72</v>
      </c>
      <c r="B560" s="293"/>
      <c r="C560" s="293"/>
      <c r="D560" s="294"/>
      <c r="E560" s="295" t="s">
        <v>33</v>
      </c>
      <c r="F560" s="296">
        <f>F553/D558</f>
        <v>135.41289549219786</v>
      </c>
      <c r="G560" s="8" t="s">
        <v>214</v>
      </c>
    </row>
    <row r="561" spans="1:7" ht="12.6" customHeight="1" x14ac:dyDescent="0.2">
      <c r="A561" s="297"/>
      <c r="B561" s="297"/>
      <c r="C561" s="297"/>
      <c r="D561" s="298"/>
      <c r="E561" s="298"/>
      <c r="F561" s="298"/>
    </row>
    <row r="562" spans="1:7" s="3" customFormat="1" ht="19.5" customHeight="1" x14ac:dyDescent="0.2">
      <c r="A562" s="299"/>
      <c r="B562" s="286"/>
      <c r="C562" s="286"/>
      <c r="D562" s="300" t="s">
        <v>349</v>
      </c>
      <c r="E562" s="301"/>
      <c r="F562" s="289">
        <f>F560*B555</f>
        <v>1354.1289549219787</v>
      </c>
      <c r="G562" s="4"/>
    </row>
    <row r="563" spans="1:7" s="3" customFormat="1" ht="18" customHeight="1" x14ac:dyDescent="0.2">
      <c r="A563" s="285"/>
      <c r="B563" s="285"/>
      <c r="C563" s="285"/>
      <c r="D563" s="302" t="s">
        <v>350</v>
      </c>
      <c r="E563" s="302"/>
      <c r="F563" s="302">
        <f>F562*B557</f>
        <v>35207.352827971445</v>
      </c>
      <c r="G563" s="4"/>
    </row>
    <row r="564" spans="1:7" s="3" customFormat="1" ht="12.75" customHeight="1" x14ac:dyDescent="0.2">
      <c r="A564" s="285"/>
      <c r="B564" s="285"/>
      <c r="C564" s="285"/>
      <c r="D564" s="285"/>
      <c r="E564" s="285"/>
      <c r="F564" s="285"/>
      <c r="G564" s="4"/>
    </row>
    <row r="565" spans="1:7" ht="14.25" x14ac:dyDescent="0.2">
      <c r="A565" s="284"/>
      <c r="B565" s="302" t="s">
        <v>352</v>
      </c>
      <c r="C565" s="304"/>
      <c r="D565" s="289"/>
      <c r="E565" s="302"/>
      <c r="F565" s="305">
        <v>20</v>
      </c>
    </row>
    <row r="566" spans="1:7" ht="14.25" x14ac:dyDescent="0.2">
      <c r="A566" s="284"/>
      <c r="B566" s="283" t="s">
        <v>353</v>
      </c>
      <c r="C566" s="304"/>
      <c r="D566" s="302"/>
      <c r="E566" s="302"/>
      <c r="F566" s="302">
        <f>F562*F565</f>
        <v>27082.579098439572</v>
      </c>
    </row>
    <row r="594" spans="4:7" ht="9" customHeight="1" x14ac:dyDescent="0.2">
      <c r="D594" s="165"/>
      <c r="E594" s="165"/>
      <c r="F594" s="165"/>
      <c r="G594" s="7"/>
    </row>
  </sheetData>
  <mergeCells count="7">
    <mergeCell ref="A67:D67"/>
    <mergeCell ref="A25:C25"/>
    <mergeCell ref="A8:F8"/>
    <mergeCell ref="A9:F9"/>
    <mergeCell ref="A56:D56"/>
    <mergeCell ref="A11:F11"/>
    <mergeCell ref="A55:E55"/>
  </mergeCells>
  <phoneticPr fontId="9" type="noConversion"/>
  <hyperlinks>
    <hyperlink ref="A286" location="AbaRemun" display="3.1.2. Remuneração do Capital" xr:uid="{00000000-0004-0000-0000-000000000000}"/>
    <hyperlink ref="A270" location="AbaDeprec" display="3.1.1. Depreciação" xr:uid="{00000000-0004-0000-0000-000001000000}"/>
    <hyperlink ref="A365" location="AbaRemun" display="3.1.2. Remuneração do Capital" xr:uid="{00000000-0004-0000-0000-000002000000}"/>
    <hyperlink ref="A349" location="AbaDeprec" display="3.1.1. Depreciação" xr:uid="{00000000-0004-0000-0000-000003000000}"/>
    <hyperlink ref="A439" location="AbaRemun" display="3.1.2. Remuneração do Capital" xr:uid="{00000000-0004-0000-0000-000004000000}"/>
    <hyperlink ref="A423" location="AbaDeprec" display="3.1.1. Depreciação" xr:uid="{00000000-0004-0000-0000-000005000000}"/>
  </hyperlinks>
  <pageMargins left="0.9055118110236221" right="0.51181102362204722" top="0.74803149606299213" bottom="0.74803149606299213" header="0.31496062992125984" footer="0.31496062992125984"/>
  <pageSetup paperSize="9" scale="75" fitToHeight="0" orientation="portrait" horizontalDpi="4294967293" verticalDpi="4294967293" r:id="rId1"/>
  <headerFooter alignWithMargins="0">
    <oddFooter>&amp;R&amp;P de &amp;N</oddFooter>
  </headerFooter>
  <rowBreaks count="3" manualBreakCount="3">
    <brk id="122" max="5" man="1"/>
    <brk id="284" max="5" man="1"/>
    <brk id="508" max="5" man="1"/>
  </rowBreaks>
  <ignoredErrors>
    <ignoredError sqref="D21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6"/>
  <sheetViews>
    <sheetView topLeftCell="A18" workbookViewId="0">
      <selection activeCell="B40" sqref="B40"/>
    </sheetView>
  </sheetViews>
  <sheetFormatPr defaultColWidth="9.140625" defaultRowHeight="12.75" x14ac:dyDescent="0.2"/>
  <cols>
    <col min="1" max="1" width="13.5703125" style="1" customWidth="1"/>
    <col min="2" max="2" width="36.7109375" style="1" bestFit="1" customWidth="1"/>
    <col min="3" max="3" width="14.5703125" style="1" customWidth="1"/>
    <col min="4" max="4" width="37.28515625" style="1" customWidth="1"/>
    <col min="5" max="10" width="9.140625" style="1"/>
    <col min="11" max="11" width="11" style="1" bestFit="1" customWidth="1"/>
    <col min="12" max="16384" width="9.140625" style="1"/>
  </cols>
  <sheetData>
    <row r="1" spans="1:6" x14ac:dyDescent="0.2">
      <c r="A1" s="9" t="s">
        <v>211</v>
      </c>
    </row>
    <row r="2" spans="1:6" x14ac:dyDescent="0.2">
      <c r="A2" s="40" t="s">
        <v>266</v>
      </c>
    </row>
    <row r="3" spans="1:6" ht="13.5" thickBot="1" x14ac:dyDescent="0.25"/>
    <row r="4" spans="1:6" ht="18" x14ac:dyDescent="0.2">
      <c r="A4" s="322" t="s">
        <v>247</v>
      </c>
      <c r="B4" s="323"/>
      <c r="C4" s="324"/>
      <c r="D4" s="43"/>
      <c r="E4" s="43"/>
      <c r="F4" s="43"/>
    </row>
    <row r="5" spans="1:6" ht="14.25" x14ac:dyDescent="0.2">
      <c r="A5" s="58" t="s">
        <v>148</v>
      </c>
      <c r="B5" s="59" t="s">
        <v>149</v>
      </c>
      <c r="C5" s="60" t="s">
        <v>150</v>
      </c>
      <c r="D5" s="61"/>
    </row>
    <row r="6" spans="1:6" ht="14.25" x14ac:dyDescent="0.2">
      <c r="A6" s="58" t="s">
        <v>151</v>
      </c>
      <c r="B6" s="59" t="s">
        <v>42</v>
      </c>
      <c r="C6" s="62">
        <v>0.2</v>
      </c>
      <c r="D6" s="61"/>
    </row>
    <row r="7" spans="1:6" ht="14.25" x14ac:dyDescent="0.2">
      <c r="A7" s="58" t="s">
        <v>152</v>
      </c>
      <c r="B7" s="59" t="s">
        <v>153</v>
      </c>
      <c r="C7" s="62">
        <v>1.4999999999999999E-2</v>
      </c>
      <c r="D7" s="61"/>
    </row>
    <row r="8" spans="1:6" ht="14.25" x14ac:dyDescent="0.2">
      <c r="A8" s="58" t="s">
        <v>154</v>
      </c>
      <c r="B8" s="59" t="s">
        <v>155</v>
      </c>
      <c r="C8" s="62">
        <v>0.01</v>
      </c>
      <c r="D8" s="61"/>
    </row>
    <row r="9" spans="1:6" ht="14.25" x14ac:dyDescent="0.2">
      <c r="A9" s="58" t="s">
        <v>156</v>
      </c>
      <c r="B9" s="59" t="s">
        <v>157</v>
      </c>
      <c r="C9" s="62">
        <v>2E-3</v>
      </c>
      <c r="D9" s="61"/>
    </row>
    <row r="10" spans="1:6" ht="14.25" x14ac:dyDescent="0.2">
      <c r="A10" s="58" t="s">
        <v>158</v>
      </c>
      <c r="B10" s="59" t="s">
        <v>159</v>
      </c>
      <c r="C10" s="62">
        <v>6.0000000000000001E-3</v>
      </c>
      <c r="D10" s="61"/>
    </row>
    <row r="11" spans="1:6" ht="14.25" x14ac:dyDescent="0.2">
      <c r="A11" s="58" t="s">
        <v>160</v>
      </c>
      <c r="B11" s="59" t="s">
        <v>161</v>
      </c>
      <c r="C11" s="62">
        <v>2.5000000000000001E-2</v>
      </c>
      <c r="D11" s="61"/>
    </row>
    <row r="12" spans="1:6" ht="14.25" x14ac:dyDescent="0.2">
      <c r="A12" s="58" t="s">
        <v>162</v>
      </c>
      <c r="B12" s="59" t="s">
        <v>163</v>
      </c>
      <c r="C12" s="62">
        <v>0.03</v>
      </c>
      <c r="D12" s="61"/>
    </row>
    <row r="13" spans="1:6" ht="14.25" x14ac:dyDescent="0.2">
      <c r="A13" s="58" t="s">
        <v>164</v>
      </c>
      <c r="B13" s="59" t="s">
        <v>43</v>
      </c>
      <c r="C13" s="62">
        <v>0.08</v>
      </c>
      <c r="D13" s="61"/>
    </row>
    <row r="14" spans="1:6" ht="15" x14ac:dyDescent="0.2">
      <c r="A14" s="58" t="s">
        <v>165</v>
      </c>
      <c r="B14" s="63" t="s">
        <v>166</v>
      </c>
      <c r="C14" s="64">
        <f>SUM(C6:C13)</f>
        <v>0.36800000000000005</v>
      </c>
      <c r="D14" s="61"/>
    </row>
    <row r="15" spans="1:6" ht="15" x14ac:dyDescent="0.2">
      <c r="A15" s="65"/>
      <c r="B15" s="66"/>
      <c r="C15" s="67"/>
      <c r="D15" s="61"/>
    </row>
    <row r="16" spans="1:6" ht="14.25" x14ac:dyDescent="0.2">
      <c r="A16" s="58" t="s">
        <v>167</v>
      </c>
      <c r="B16" s="68" t="s">
        <v>168</v>
      </c>
      <c r="C16" s="62">
        <f>ROUND(IF('3.CAGED'!C39&gt;24,(1-12/'3.CAGED'!C39)*0.1111,0.1111-C25),4)</f>
        <v>4.9000000000000002E-2</v>
      </c>
      <c r="D16" s="61"/>
    </row>
    <row r="17" spans="1:8" ht="14.25" x14ac:dyDescent="0.2">
      <c r="A17" s="58" t="s">
        <v>169</v>
      </c>
      <c r="B17" s="68" t="s">
        <v>170</v>
      </c>
      <c r="C17" s="62">
        <f>ROUND('3.CAGED'!C33/'3.CAGED'!C30,4)</f>
        <v>8.3299999999999999E-2</v>
      </c>
      <c r="D17" s="61"/>
    </row>
    <row r="18" spans="1:8" ht="14.25" x14ac:dyDescent="0.2">
      <c r="A18" s="58" t="s">
        <v>236</v>
      </c>
      <c r="B18" s="68" t="s">
        <v>172</v>
      </c>
      <c r="C18" s="62">
        <v>5.9999999999999995E-4</v>
      </c>
      <c r="D18" s="61"/>
    </row>
    <row r="19" spans="1:8" ht="14.25" x14ac:dyDescent="0.2">
      <c r="A19" s="58" t="s">
        <v>171</v>
      </c>
      <c r="B19" s="68" t="s">
        <v>174</v>
      </c>
      <c r="C19" s="62">
        <v>8.2000000000000007E-3</v>
      </c>
      <c r="D19" s="61"/>
    </row>
    <row r="20" spans="1:8" ht="14.25" x14ac:dyDescent="0.2">
      <c r="A20" s="58" t="s">
        <v>173</v>
      </c>
      <c r="B20" s="68" t="s">
        <v>176</v>
      </c>
      <c r="C20" s="62">
        <v>3.0999999999999999E-3</v>
      </c>
      <c r="D20" s="61"/>
    </row>
    <row r="21" spans="1:8" ht="14.25" x14ac:dyDescent="0.2">
      <c r="A21" s="58" t="s">
        <v>175</v>
      </c>
      <c r="B21" s="68" t="s">
        <v>177</v>
      </c>
      <c r="C21" s="62">
        <v>1.66E-2</v>
      </c>
      <c r="D21" s="61"/>
    </row>
    <row r="22" spans="1:8" ht="15" x14ac:dyDescent="0.2">
      <c r="A22" s="58" t="s">
        <v>178</v>
      </c>
      <c r="B22" s="63" t="s">
        <v>179</v>
      </c>
      <c r="C22" s="64">
        <f>SUM(C16:C21)</f>
        <v>0.1608</v>
      </c>
      <c r="D22" s="69"/>
    </row>
    <row r="23" spans="1:8" ht="15" x14ac:dyDescent="0.2">
      <c r="A23" s="65"/>
      <c r="B23" s="66"/>
      <c r="C23" s="67"/>
      <c r="D23" s="69"/>
    </row>
    <row r="24" spans="1:8" ht="14.25" x14ac:dyDescent="0.2">
      <c r="A24" s="58" t="s">
        <v>180</v>
      </c>
      <c r="B24" s="59" t="s">
        <v>181</v>
      </c>
      <c r="C24" s="62">
        <f>ROUND(('3.CAGED'!C38) *'3.CAGED'!C29/'3.CAGED'!C30,4)</f>
        <v>4.48E-2</v>
      </c>
      <c r="D24" s="61"/>
      <c r="E24" s="70"/>
    </row>
    <row r="25" spans="1:8" ht="14.25" x14ac:dyDescent="0.2">
      <c r="A25" s="58" t="s">
        <v>235</v>
      </c>
      <c r="B25" s="59" t="s">
        <v>183</v>
      </c>
      <c r="C25" s="62">
        <f>ROUND(IF('3.CAGED'!C39&gt;12,12/'3.CAGED'!C39*0.1111,0.1111),4)</f>
        <v>6.2100000000000002E-2</v>
      </c>
      <c r="D25" s="61"/>
      <c r="H25" s="71"/>
    </row>
    <row r="26" spans="1:8" ht="14.25" x14ac:dyDescent="0.2">
      <c r="A26" s="58" t="s">
        <v>182</v>
      </c>
      <c r="B26" s="59" t="s">
        <v>185</v>
      </c>
      <c r="C26" s="62">
        <f>ROUND(('3.CAGED'!C32+'3.CAGED'!C31)/360*C24,4)</f>
        <v>5.0000000000000001E-3</v>
      </c>
      <c r="D26" s="61"/>
    </row>
    <row r="27" spans="1:8" ht="14.25" x14ac:dyDescent="0.2">
      <c r="A27" s="58" t="s">
        <v>184</v>
      </c>
      <c r="B27" s="59" t="s">
        <v>187</v>
      </c>
      <c r="C27" s="62">
        <f>ROUND(('3.CAGED'!C30+'3.CAGED'!C31+'3.CAGED'!C33)/'3.CAGED'!C28*'3.CAGED'!C35*'3.CAGED'!C36*'3.CAGED'!C29/'3.CAGED'!C30,4)</f>
        <v>3.8899999999999997E-2</v>
      </c>
      <c r="D27" s="61"/>
      <c r="G27" s="70"/>
    </row>
    <row r="28" spans="1:8" ht="14.25" x14ac:dyDescent="0.2">
      <c r="A28" s="58" t="s">
        <v>186</v>
      </c>
      <c r="B28" s="59" t="s">
        <v>188</v>
      </c>
      <c r="C28" s="62">
        <f>ROUND(('3.CAGED'!C32/'3.CAGED'!C30)*'3.CAGED'!C29/12,4)</f>
        <v>3.3999999999999998E-3</v>
      </c>
      <c r="D28" s="61"/>
    </row>
    <row r="29" spans="1:8" ht="15" x14ac:dyDescent="0.2">
      <c r="A29" s="58" t="s">
        <v>189</v>
      </c>
      <c r="B29" s="63" t="s">
        <v>190</v>
      </c>
      <c r="C29" s="64">
        <f>SUM(C24:C28)</f>
        <v>0.15419999999999998</v>
      </c>
      <c r="D29" s="69"/>
    </row>
    <row r="30" spans="1:8" ht="15" x14ac:dyDescent="0.2">
      <c r="A30" s="65"/>
      <c r="B30" s="66"/>
      <c r="C30" s="67"/>
      <c r="D30" s="69"/>
    </row>
    <row r="31" spans="1:8" ht="14.25" x14ac:dyDescent="0.2">
      <c r="A31" s="58" t="s">
        <v>191</v>
      </c>
      <c r="B31" s="59" t="s">
        <v>192</v>
      </c>
      <c r="C31" s="62">
        <f>ROUND(C14*C22,4)</f>
        <v>5.9200000000000003E-2</v>
      </c>
      <c r="D31" s="61"/>
    </row>
    <row r="32" spans="1:8" ht="28.5" x14ac:dyDescent="0.2">
      <c r="A32" s="58" t="s">
        <v>193</v>
      </c>
      <c r="B32" s="72" t="s">
        <v>194</v>
      </c>
      <c r="C32" s="62">
        <f>ROUND((C24*C14),4)</f>
        <v>1.6500000000000001E-2</v>
      </c>
      <c r="D32" s="61"/>
    </row>
    <row r="33" spans="1:4" ht="15" x14ac:dyDescent="0.2">
      <c r="A33" s="58" t="s">
        <v>195</v>
      </c>
      <c r="B33" s="63" t="s">
        <v>196</v>
      </c>
      <c r="C33" s="64">
        <f>SUM(C31:C32)</f>
        <v>7.5700000000000003E-2</v>
      </c>
      <c r="D33" s="69"/>
    </row>
    <row r="34" spans="1:4" ht="15.75" thickBot="1" x14ac:dyDescent="0.25">
      <c r="A34" s="73"/>
      <c r="B34" s="74" t="s">
        <v>197</v>
      </c>
      <c r="C34" s="75">
        <f>C33+C29+C22+C14</f>
        <v>0.75870000000000004</v>
      </c>
      <c r="D34" s="69"/>
    </row>
    <row r="35" spans="1:4" ht="15" x14ac:dyDescent="0.2">
      <c r="A35" s="61"/>
      <c r="B35" s="76"/>
      <c r="C35" s="77"/>
      <c r="D35" s="78"/>
    </row>
    <row r="36" spans="1:4" ht="14.25" x14ac:dyDescent="0.2">
      <c r="A36" s="61"/>
      <c r="B36" s="61"/>
      <c r="C36" s="79"/>
      <c r="D36" s="80"/>
    </row>
    <row r="37" spans="1:4" ht="14.25" x14ac:dyDescent="0.2">
      <c r="A37" s="61"/>
      <c r="B37" s="61"/>
      <c r="C37" s="79"/>
      <c r="D37" s="61"/>
    </row>
    <row r="38" spans="1:4" ht="14.25" x14ac:dyDescent="0.2">
      <c r="A38" s="61"/>
      <c r="B38" s="61"/>
      <c r="C38" s="79"/>
      <c r="D38" s="61"/>
    </row>
    <row r="39" spans="1:4" ht="14.25" x14ac:dyDescent="0.2">
      <c r="A39" s="61"/>
      <c r="B39" s="61"/>
      <c r="C39" s="79"/>
      <c r="D39" s="61"/>
    </row>
    <row r="40" spans="1:4" ht="15" x14ac:dyDescent="0.2">
      <c r="A40" s="61"/>
      <c r="B40" s="76"/>
      <c r="C40" s="77"/>
      <c r="D40" s="61"/>
    </row>
    <row r="41" spans="1:4" ht="15" x14ac:dyDescent="0.2">
      <c r="A41" s="69"/>
      <c r="B41" s="76"/>
      <c r="C41" s="77"/>
      <c r="D41" s="69"/>
    </row>
    <row r="42" spans="1:4" ht="16.5" x14ac:dyDescent="0.2">
      <c r="A42" s="81"/>
    </row>
    <row r="43" spans="1:4" x14ac:dyDescent="0.2">
      <c r="A43" s="82"/>
      <c r="B43" s="83"/>
      <c r="C43" s="83"/>
    </row>
    <row r="44" spans="1:4" ht="14.25" x14ac:dyDescent="0.2">
      <c r="A44" s="61"/>
      <c r="B44" s="84"/>
      <c r="C44" s="83"/>
    </row>
    <row r="45" spans="1:4" ht="14.25" x14ac:dyDescent="0.2">
      <c r="A45" s="61"/>
      <c r="B45" s="84"/>
      <c r="C45" s="61"/>
    </row>
    <row r="46" spans="1:4" ht="14.25" x14ac:dyDescent="0.2">
      <c r="A46" s="61"/>
      <c r="B46" s="79"/>
      <c r="C46" s="83"/>
    </row>
    <row r="47" spans="1:4" ht="14.25" x14ac:dyDescent="0.2">
      <c r="A47" s="61"/>
      <c r="B47" s="84"/>
      <c r="C47" s="61"/>
    </row>
    <row r="48" spans="1:4" ht="14.25" x14ac:dyDescent="0.2">
      <c r="A48" s="61"/>
      <c r="B48" s="79"/>
      <c r="C48" s="83"/>
    </row>
    <row r="49" spans="1:3" ht="14.25" x14ac:dyDescent="0.2">
      <c r="A49" s="61"/>
      <c r="B49" s="84"/>
      <c r="C49" s="61"/>
    </row>
    <row r="50" spans="1:3" ht="14.25" x14ac:dyDescent="0.2">
      <c r="A50" s="61"/>
      <c r="B50" s="79"/>
      <c r="C50" s="83"/>
    </row>
    <row r="51" spans="1:3" ht="14.25" x14ac:dyDescent="0.2">
      <c r="A51" s="61"/>
      <c r="B51" s="84"/>
      <c r="C51" s="61"/>
    </row>
    <row r="52" spans="1:3" ht="14.25" x14ac:dyDescent="0.2">
      <c r="A52" s="61"/>
      <c r="B52" s="79"/>
      <c r="C52" s="83"/>
    </row>
    <row r="53" spans="1:3" ht="16.5" x14ac:dyDescent="0.2">
      <c r="A53" s="81"/>
    </row>
    <row r="56" spans="1:3" x14ac:dyDescent="0.2">
      <c r="A56" s="85"/>
    </row>
  </sheetData>
  <mergeCells count="1">
    <mergeCell ref="A4:C4"/>
  </mergeCells>
  <pageMargins left="0.90551181102362199" right="0.51181102362204722" top="0.74803149606299213" bottom="0.74803149606299213" header="0.31496062992125984" footer="0.31496062992125984"/>
  <pageSetup paperSize="9" orientation="portrait" verticalDpi="597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1"/>
  <sheetViews>
    <sheetView topLeftCell="A4" workbookViewId="0">
      <selection activeCell="B21" sqref="B21"/>
    </sheetView>
  </sheetViews>
  <sheetFormatPr defaultColWidth="9.140625" defaultRowHeight="12.75" x14ac:dyDescent="0.2"/>
  <cols>
    <col min="1" max="1" width="8.5703125" style="1" customWidth="1"/>
    <col min="2" max="2" width="67.140625" style="1" customWidth="1"/>
    <col min="3" max="3" width="13.7109375" style="1" customWidth="1"/>
    <col min="4" max="4" width="10.28515625" style="1" hidden="1" customWidth="1"/>
    <col min="5" max="5" width="13.7109375" style="1" hidden="1" customWidth="1"/>
    <col min="6" max="6" width="14.42578125" style="1" hidden="1" customWidth="1"/>
    <col min="7" max="7" width="12.7109375" style="1" hidden="1" customWidth="1"/>
    <col min="8" max="8" width="4.42578125" style="1" hidden="1" customWidth="1"/>
    <col min="9" max="9" width="6.85546875" style="1" hidden="1" customWidth="1"/>
    <col min="10" max="10" width="3.28515625" style="1" hidden="1" customWidth="1"/>
    <col min="11" max="11" width="0" style="1" hidden="1" customWidth="1"/>
    <col min="12" max="16384" width="9.140625" style="1"/>
  </cols>
  <sheetData>
    <row r="1" spans="1:3" x14ac:dyDescent="0.2">
      <c r="A1" s="32" t="s">
        <v>260</v>
      </c>
    </row>
    <row r="3" spans="1:3" x14ac:dyDescent="0.2">
      <c r="A3" s="1" t="s">
        <v>220</v>
      </c>
    </row>
    <row r="4" spans="1:3" x14ac:dyDescent="0.2">
      <c r="A4" s="141" t="s">
        <v>216</v>
      </c>
    </row>
    <row r="5" spans="1:3" ht="25.5" customHeight="1" x14ac:dyDescent="0.2">
      <c r="A5" s="328" t="s">
        <v>275</v>
      </c>
      <c r="B5" s="327"/>
      <c r="C5" s="327"/>
    </row>
    <row r="6" spans="1:3" x14ac:dyDescent="0.2">
      <c r="A6" s="1" t="s">
        <v>217</v>
      </c>
    </row>
    <row r="7" spans="1:3" ht="26.25" customHeight="1" x14ac:dyDescent="0.2">
      <c r="A7" s="327" t="s">
        <v>218</v>
      </c>
      <c r="B7" s="327"/>
      <c r="C7" s="327"/>
    </row>
    <row r="8" spans="1:3" x14ac:dyDescent="0.2">
      <c r="A8" s="1" t="s">
        <v>219</v>
      </c>
    </row>
    <row r="9" spans="1:3" x14ac:dyDescent="0.2">
      <c r="A9" s="1" t="s">
        <v>261</v>
      </c>
    </row>
    <row r="10" spans="1:3" ht="13.5" thickBot="1" x14ac:dyDescent="0.25"/>
    <row r="11" spans="1:3" ht="18" x14ac:dyDescent="0.25">
      <c r="B11" s="325" t="s">
        <v>245</v>
      </c>
      <c r="C11" s="326"/>
    </row>
    <row r="12" spans="1:3" ht="15" x14ac:dyDescent="0.25">
      <c r="B12" s="45" t="s">
        <v>215</v>
      </c>
      <c r="C12" s="86"/>
    </row>
    <row r="13" spans="1:3" ht="15" x14ac:dyDescent="0.25">
      <c r="B13" s="46" t="s">
        <v>129</v>
      </c>
      <c r="C13" s="47">
        <v>2602</v>
      </c>
    </row>
    <row r="14" spans="1:3" ht="15" x14ac:dyDescent="0.25">
      <c r="B14" s="48" t="s">
        <v>130</v>
      </c>
      <c r="C14" s="47">
        <v>3844</v>
      </c>
    </row>
    <row r="15" spans="1:3" ht="14.25" x14ac:dyDescent="0.2">
      <c r="B15" s="87" t="s">
        <v>131</v>
      </c>
      <c r="C15" s="88">
        <v>165</v>
      </c>
    </row>
    <row r="16" spans="1:3" ht="14.25" x14ac:dyDescent="0.2">
      <c r="B16" s="87" t="s">
        <v>132</v>
      </c>
      <c r="C16" s="88">
        <v>2821</v>
      </c>
    </row>
    <row r="17" spans="1:7" ht="14.25" x14ac:dyDescent="0.2">
      <c r="B17" s="87" t="s">
        <v>133</v>
      </c>
      <c r="C17" s="88">
        <v>338</v>
      </c>
    </row>
    <row r="18" spans="1:7" ht="14.25" x14ac:dyDescent="0.2">
      <c r="B18" s="87" t="s">
        <v>134</v>
      </c>
      <c r="C18" s="88">
        <v>22</v>
      </c>
    </row>
    <row r="19" spans="1:7" ht="14.25" x14ac:dyDescent="0.2">
      <c r="B19" s="87" t="s">
        <v>135</v>
      </c>
      <c r="C19" s="88">
        <v>470</v>
      </c>
    </row>
    <row r="20" spans="1:7" ht="14.25" x14ac:dyDescent="0.2">
      <c r="B20" s="87" t="s">
        <v>136</v>
      </c>
      <c r="C20" s="88">
        <v>1</v>
      </c>
    </row>
    <row r="21" spans="1:7" ht="14.25" x14ac:dyDescent="0.2">
      <c r="B21" s="87" t="s">
        <v>137</v>
      </c>
      <c r="C21" s="88">
        <v>26</v>
      </c>
    </row>
    <row r="22" spans="1:7" ht="14.25" x14ac:dyDescent="0.2">
      <c r="B22" s="89" t="s">
        <v>138</v>
      </c>
      <c r="C22" s="90">
        <v>0</v>
      </c>
    </row>
    <row r="23" spans="1:7" ht="15" x14ac:dyDescent="0.25">
      <c r="A23" s="1" t="s">
        <v>139</v>
      </c>
      <c r="B23" s="45" t="s">
        <v>140</v>
      </c>
      <c r="C23" s="86"/>
    </row>
    <row r="24" spans="1:7" ht="14.25" x14ac:dyDescent="0.2">
      <c r="B24" s="91" t="s">
        <v>323</v>
      </c>
      <c r="C24" s="92">
        <v>6389</v>
      </c>
    </row>
    <row r="25" spans="1:7" ht="14.25" x14ac:dyDescent="0.2">
      <c r="B25" s="87" t="s">
        <v>324</v>
      </c>
      <c r="C25" s="88">
        <v>5147</v>
      </c>
    </row>
    <row r="26" spans="1:7" ht="14.25" x14ac:dyDescent="0.2">
      <c r="B26" s="87" t="s">
        <v>325</v>
      </c>
      <c r="C26" s="88">
        <v>-1242</v>
      </c>
    </row>
    <row r="27" spans="1:7" ht="14.25" x14ac:dyDescent="0.2">
      <c r="B27" s="93"/>
      <c r="C27" s="94"/>
    </row>
    <row r="28" spans="1:7" ht="15" x14ac:dyDescent="0.25">
      <c r="B28" s="49" t="s">
        <v>141</v>
      </c>
      <c r="C28" s="142">
        <f>MEDIAN(C13,C14)/MEDIAN(C24,C25)</f>
        <v>0.55877253814147021</v>
      </c>
      <c r="G28" s="1">
        <f>12/C28</f>
        <v>21.4756438101148</v>
      </c>
    </row>
    <row r="29" spans="1:7" ht="15" x14ac:dyDescent="0.25">
      <c r="B29" s="46" t="s">
        <v>142</v>
      </c>
      <c r="C29" s="142">
        <f>C16/MEDIAN(C24,C25)</f>
        <v>0.48907766990291263</v>
      </c>
    </row>
    <row r="30" spans="1:7" ht="15" x14ac:dyDescent="0.25">
      <c r="B30" s="51" t="s">
        <v>143</v>
      </c>
      <c r="C30" s="50">
        <v>360</v>
      </c>
    </row>
    <row r="31" spans="1:7" ht="15" x14ac:dyDescent="0.25">
      <c r="B31" s="46" t="s">
        <v>262</v>
      </c>
      <c r="C31" s="50">
        <v>10</v>
      </c>
    </row>
    <row r="32" spans="1:7" ht="15" x14ac:dyDescent="0.25">
      <c r="B32" s="46" t="s">
        <v>263</v>
      </c>
      <c r="C32" s="50">
        <v>30</v>
      </c>
      <c r="G32" s="1">
        <f>TRUNC(G37)</f>
        <v>9</v>
      </c>
    </row>
    <row r="33" spans="2:11" ht="15" x14ac:dyDescent="0.25">
      <c r="B33" s="46" t="s">
        <v>264</v>
      </c>
      <c r="C33" s="50">
        <v>30</v>
      </c>
    </row>
    <row r="34" spans="2:11" s="32" customFormat="1" ht="15" x14ac:dyDescent="0.25">
      <c r="B34" s="46" t="s">
        <v>144</v>
      </c>
      <c r="C34" s="95">
        <f>MEDIAN(C24,C25)</f>
        <v>5768</v>
      </c>
    </row>
    <row r="35" spans="2:11" s="32" customFormat="1" ht="15" x14ac:dyDescent="0.25">
      <c r="B35" s="46" t="s">
        <v>43</v>
      </c>
      <c r="C35" s="96">
        <v>0.08</v>
      </c>
      <c r="K35" s="32">
        <f>IF(C39&gt;12,C39-12,C39)</f>
        <v>9.4756438101147999</v>
      </c>
    </row>
    <row r="36" spans="2:11" s="32" customFormat="1" ht="15" x14ac:dyDescent="0.25">
      <c r="B36" s="46" t="s">
        <v>145</v>
      </c>
      <c r="C36" s="96">
        <v>0.5</v>
      </c>
      <c r="K36" s="32" t="e">
        <f>IF(#REF!&gt;12,#REF!-12,#REF!)</f>
        <v>#REF!</v>
      </c>
    </row>
    <row r="37" spans="2:11" s="32" customFormat="1" ht="15" x14ac:dyDescent="0.25">
      <c r="B37" s="46" t="s">
        <v>146</v>
      </c>
      <c r="C37" s="143">
        <f>((1/C28)-TRUNC(E37))</f>
        <v>0.78963698417623318</v>
      </c>
      <c r="D37" s="32">
        <f>TRUNC(E37)</f>
        <v>1</v>
      </c>
      <c r="E37" s="32">
        <f>1/C28</f>
        <v>1.7896369841762332</v>
      </c>
      <c r="F37" s="32">
        <f>((1/C28)-TRUNC(E37))</f>
        <v>0.78963698417623318</v>
      </c>
      <c r="G37" s="32">
        <f>12*F37</f>
        <v>9.4756438101147982</v>
      </c>
      <c r="K37" s="32" t="e">
        <f>IF(#REF!&gt;12,#REF!-12,#REF!)</f>
        <v>#REF!</v>
      </c>
    </row>
    <row r="38" spans="2:11" s="32" customFormat="1" ht="15" x14ac:dyDescent="0.25">
      <c r="B38" s="45" t="s">
        <v>147</v>
      </c>
      <c r="C38" s="52">
        <f>30+D38</f>
        <v>33</v>
      </c>
      <c r="D38" s="32">
        <f>3*D37</f>
        <v>3</v>
      </c>
      <c r="G38" s="32">
        <f>G37/12*40/360</f>
        <v>8.7737442686248127E-2</v>
      </c>
      <c r="K38" s="32" t="e">
        <f>IF(#REF!&gt;12,#REF!-12,#REF!)</f>
        <v>#REF!</v>
      </c>
    </row>
    <row r="39" spans="2:11" s="32" customFormat="1" ht="15.75" thickBot="1" x14ac:dyDescent="0.3">
      <c r="B39" s="53" t="s">
        <v>267</v>
      </c>
      <c r="C39" s="144">
        <f>12/C28</f>
        <v>21.4756438101148</v>
      </c>
      <c r="K39" s="32" t="e">
        <f>IF(#REF!&gt;12,#REF!-12,#REF!)</f>
        <v>#REF!</v>
      </c>
    </row>
    <row r="40" spans="2:11" x14ac:dyDescent="0.2">
      <c r="K40" s="1" t="e">
        <f t="shared" ref="K40:K41" si="0">IF(K39&gt;12,K39-12,K39)</f>
        <v>#REF!</v>
      </c>
    </row>
    <row r="41" spans="2:11" x14ac:dyDescent="0.2">
      <c r="K41" s="1" t="e">
        <f t="shared" si="0"/>
        <v>#REF!</v>
      </c>
    </row>
  </sheetData>
  <mergeCells count="3">
    <mergeCell ref="B11:C11"/>
    <mergeCell ref="A7:C7"/>
    <mergeCell ref="A5:C5"/>
  </mergeCells>
  <pageMargins left="0.90551181102362199" right="0.51181102362204722" top="0.74803149606299213" bottom="0.74803149606299213" header="0.31496062992125984" footer="0.31496062992125984"/>
  <pageSetup paperSize="9" scale="98" orientation="portrait" verticalDpi="597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2"/>
  <sheetViews>
    <sheetView workbookViewId="0">
      <selection activeCell="C13" sqref="C13"/>
    </sheetView>
  </sheetViews>
  <sheetFormatPr defaultRowHeight="12.75" x14ac:dyDescent="0.2"/>
  <cols>
    <col min="1" max="1" width="41.85546875" bestFit="1" customWidth="1"/>
    <col min="2" max="2" width="5.5703125" bestFit="1" customWidth="1"/>
    <col min="4" max="4" width="9.7109375" bestFit="1" customWidth="1"/>
    <col min="5" max="5" width="8" style="36" bestFit="1" customWidth="1"/>
    <col min="6" max="6" width="9.7109375" bestFit="1" customWidth="1"/>
  </cols>
  <sheetData>
    <row r="1" spans="1:8" s="41" customFormat="1" ht="14.25" x14ac:dyDescent="0.2">
      <c r="A1" s="9" t="s">
        <v>211</v>
      </c>
      <c r="B1" s="6"/>
      <c r="C1" s="6"/>
      <c r="E1" s="42"/>
    </row>
    <row r="2" spans="1:8" s="41" customFormat="1" ht="14.25" x14ac:dyDescent="0.2">
      <c r="A2" s="40" t="s">
        <v>268</v>
      </c>
      <c r="B2" s="6"/>
      <c r="C2" s="6"/>
      <c r="E2" s="42"/>
    </row>
    <row r="3" spans="1:8" s="41" customFormat="1" ht="14.25" x14ac:dyDescent="0.2">
      <c r="A3" s="7" t="s">
        <v>212</v>
      </c>
      <c r="B3" s="6"/>
      <c r="C3" s="6"/>
      <c r="E3" s="42"/>
    </row>
    <row r="4" spans="1:8" s="41" customFormat="1" ht="14.25" x14ac:dyDescent="0.2">
      <c r="A4" s="40"/>
      <c r="B4" s="6"/>
      <c r="C4" s="6"/>
      <c r="E4" s="42"/>
    </row>
    <row r="5" spans="1:8" s="41" customFormat="1" ht="15" thickBot="1" x14ac:dyDescent="0.25">
      <c r="B5" s="6"/>
      <c r="C5" s="6"/>
      <c r="E5" s="42"/>
    </row>
    <row r="6" spans="1:8" ht="15.75" x14ac:dyDescent="0.2">
      <c r="A6" s="334" t="s">
        <v>246</v>
      </c>
      <c r="B6" s="335"/>
      <c r="C6" s="335"/>
      <c r="D6" s="335"/>
      <c r="E6" s="335"/>
      <c r="F6" s="336"/>
    </row>
    <row r="7" spans="1:8" ht="16.5" thickBot="1" x14ac:dyDescent="0.25">
      <c r="A7" s="135"/>
      <c r="B7" s="136"/>
      <c r="C7" s="136"/>
      <c r="D7" s="136"/>
      <c r="E7" s="136"/>
      <c r="F7" s="137"/>
    </row>
    <row r="8" spans="1:8" ht="15" x14ac:dyDescent="0.25">
      <c r="A8" s="97"/>
      <c r="B8" s="6"/>
      <c r="C8" s="6"/>
      <c r="D8" s="331" t="s">
        <v>265</v>
      </c>
      <c r="E8" s="332"/>
      <c r="F8" s="333"/>
      <c r="G8" s="41"/>
      <c r="H8" s="41"/>
    </row>
    <row r="9" spans="1:8" ht="15" thickBot="1" x14ac:dyDescent="0.25">
      <c r="A9" s="93"/>
      <c r="B9" s="41"/>
      <c r="C9" s="41"/>
      <c r="D9" s="98" t="s">
        <v>198</v>
      </c>
      <c r="E9" s="99" t="s">
        <v>199</v>
      </c>
      <c r="F9" s="100" t="s">
        <v>200</v>
      </c>
      <c r="G9" s="41"/>
      <c r="H9" s="41"/>
    </row>
    <row r="10" spans="1:8" ht="14.25" x14ac:dyDescent="0.2">
      <c r="A10" s="101" t="s">
        <v>79</v>
      </c>
      <c r="B10" s="102" t="s">
        <v>80</v>
      </c>
      <c r="C10" s="103">
        <v>0.02</v>
      </c>
      <c r="D10" s="124">
        <v>2.9700000000000001E-2</v>
      </c>
      <c r="E10" s="125">
        <v>5.0799999999999998E-2</v>
      </c>
      <c r="F10" s="126">
        <v>6.2700000000000006E-2</v>
      </c>
      <c r="G10" s="41"/>
      <c r="H10" s="41"/>
    </row>
    <row r="11" spans="1:8" ht="14.25" x14ac:dyDescent="0.2">
      <c r="A11" s="105" t="s">
        <v>81</v>
      </c>
      <c r="B11" s="106" t="s">
        <v>82</v>
      </c>
      <c r="C11" s="107">
        <v>5.0000000000000001E-3</v>
      </c>
      <c r="D11" s="124">
        <f>0.3%+0.56%</f>
        <v>8.6E-3</v>
      </c>
      <c r="E11" s="125">
        <f>0.48%+0.85%</f>
        <v>1.3299999999999999E-2</v>
      </c>
      <c r="F11" s="126">
        <f>0.82%+0.89%</f>
        <v>1.7099999999999997E-2</v>
      </c>
      <c r="G11" s="41"/>
      <c r="H11" s="41"/>
    </row>
    <row r="12" spans="1:8" ht="14.25" x14ac:dyDescent="0.2">
      <c r="A12" s="105" t="s">
        <v>83</v>
      </c>
      <c r="B12" s="106" t="s">
        <v>84</v>
      </c>
      <c r="C12" s="107">
        <v>0.05</v>
      </c>
      <c r="D12" s="124">
        <v>7.7799999999999994E-2</v>
      </c>
      <c r="E12" s="125">
        <v>0.1085</v>
      </c>
      <c r="F12" s="126">
        <v>0.13550000000000001</v>
      </c>
      <c r="G12" s="41"/>
      <c r="H12" s="41"/>
    </row>
    <row r="13" spans="1:8" ht="14.25" x14ac:dyDescent="0.2">
      <c r="A13" s="105" t="s">
        <v>85</v>
      </c>
      <c r="B13" s="106" t="s">
        <v>86</v>
      </c>
      <c r="C13" s="108">
        <f>(1+E13)^(E14/252)-1</f>
        <v>5.0105107694793372E-3</v>
      </c>
      <c r="D13" s="124" t="s">
        <v>304</v>
      </c>
      <c r="E13" s="109">
        <v>6.5000000000000002E-2</v>
      </c>
      <c r="F13" s="104"/>
      <c r="G13" s="41"/>
      <c r="H13" s="41"/>
    </row>
    <row r="14" spans="1:8" ht="14.25" x14ac:dyDescent="0.2">
      <c r="A14" s="105" t="s">
        <v>87</v>
      </c>
      <c r="B14" s="329" t="s">
        <v>88</v>
      </c>
      <c r="C14" s="107">
        <v>0.03</v>
      </c>
      <c r="D14" s="161" t="s">
        <v>201</v>
      </c>
      <c r="E14" s="110">
        <v>20</v>
      </c>
      <c r="F14" s="111"/>
      <c r="G14" s="41"/>
      <c r="H14" s="41"/>
    </row>
    <row r="15" spans="1:8" ht="15" thickBot="1" x14ac:dyDescent="0.25">
      <c r="A15" s="112" t="s">
        <v>89</v>
      </c>
      <c r="B15" s="330"/>
      <c r="C15" s="113">
        <v>3.6499999999999998E-2</v>
      </c>
      <c r="D15" s="87"/>
      <c r="E15" s="114"/>
      <c r="F15" s="111"/>
      <c r="G15" s="41"/>
      <c r="H15" s="41"/>
    </row>
    <row r="16" spans="1:8" ht="14.25" x14ac:dyDescent="0.2">
      <c r="A16" s="115" t="s">
        <v>90</v>
      </c>
      <c r="B16" s="116"/>
      <c r="C16" s="117"/>
      <c r="D16" s="87"/>
      <c r="E16" s="114"/>
      <c r="F16" s="111"/>
      <c r="G16" s="41"/>
      <c r="H16" s="41"/>
    </row>
    <row r="17" spans="1:8" ht="15" thickBot="1" x14ac:dyDescent="0.25">
      <c r="A17" s="118" t="s">
        <v>91</v>
      </c>
      <c r="B17" s="119"/>
      <c r="C17" s="120"/>
      <c r="D17" s="87"/>
      <c r="E17" s="114"/>
      <c r="F17" s="111"/>
      <c r="G17" s="41"/>
      <c r="H17" s="41"/>
    </row>
    <row r="18" spans="1:8" ht="15.75" thickBot="1" x14ac:dyDescent="0.25">
      <c r="A18" s="121" t="s">
        <v>92</v>
      </c>
      <c r="B18" s="122"/>
      <c r="C18" s="123">
        <f>ROUND((((1+C10+C11)*(1+C12)*(1+C13))/(1-(C14+C15))-1),4)</f>
        <v>0.15870000000000001</v>
      </c>
      <c r="D18" s="127">
        <v>0.21429999999999999</v>
      </c>
      <c r="E18" s="128">
        <v>0.2717</v>
      </c>
      <c r="F18" s="129">
        <v>0.3362</v>
      </c>
      <c r="G18" s="41"/>
      <c r="H18" s="41"/>
    </row>
    <row r="19" spans="1:8" ht="14.25" x14ac:dyDescent="0.2">
      <c r="A19" s="41"/>
      <c r="B19" s="41"/>
      <c r="C19" s="41"/>
      <c r="D19" s="41"/>
      <c r="E19" s="42"/>
      <c r="F19" s="41"/>
      <c r="G19" s="41"/>
      <c r="H19" s="41"/>
    </row>
    <row r="20" spans="1:8" ht="14.25" x14ac:dyDescent="0.2">
      <c r="A20" s="41"/>
      <c r="B20" s="41"/>
      <c r="C20" s="41"/>
      <c r="D20" s="41"/>
      <c r="E20" s="42"/>
      <c r="F20" s="41"/>
      <c r="G20" s="41"/>
      <c r="H20" s="41"/>
    </row>
    <row r="21" spans="1:8" ht="14.25" x14ac:dyDescent="0.2">
      <c r="A21" s="41"/>
      <c r="B21" s="41"/>
      <c r="C21" s="41"/>
      <c r="D21" s="41"/>
      <c r="E21" s="42"/>
      <c r="F21" s="41"/>
      <c r="G21" s="41"/>
      <c r="H21" s="41"/>
    </row>
    <row r="22" spans="1:8" ht="14.25" x14ac:dyDescent="0.2">
      <c r="A22" s="41"/>
      <c r="B22" s="41"/>
      <c r="C22" s="41"/>
      <c r="D22" s="41"/>
      <c r="E22" s="42"/>
      <c r="F22" s="41"/>
      <c r="G22" s="41"/>
      <c r="H22" s="41"/>
    </row>
  </sheetData>
  <mergeCells count="3">
    <mergeCell ref="B14:B15"/>
    <mergeCell ref="D8:F8"/>
    <mergeCell ref="A6:F6"/>
  </mergeCells>
  <pageMargins left="0.90551181102362199" right="0.5118110236220472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7"/>
  <sheetViews>
    <sheetView workbookViewId="0">
      <selection activeCell="G32" sqref="G32"/>
    </sheetView>
  </sheetViews>
  <sheetFormatPr defaultColWidth="9.140625" defaultRowHeight="19.5" customHeight="1" x14ac:dyDescent="0.2"/>
  <cols>
    <col min="1" max="1" width="24.5703125" style="1" customWidth="1"/>
    <col min="2" max="2" width="20.85546875" style="1" customWidth="1"/>
    <col min="3" max="16384" width="9.140625" style="1"/>
  </cols>
  <sheetData>
    <row r="1" spans="1:2" ht="19.5" customHeight="1" thickBot="1" x14ac:dyDescent="0.25">
      <c r="A1" s="337" t="s">
        <v>249</v>
      </c>
      <c r="B1" s="338"/>
    </row>
    <row r="2" spans="1:2" s="32" customFormat="1" ht="19.5" customHeight="1" x14ac:dyDescent="0.2">
      <c r="A2" s="138" t="s">
        <v>221</v>
      </c>
      <c r="B2" s="139" t="s">
        <v>306</v>
      </c>
    </row>
    <row r="3" spans="1:2" ht="19.5" customHeight="1" x14ac:dyDescent="0.2">
      <c r="A3" s="55">
        <v>1</v>
      </c>
      <c r="B3" s="54">
        <v>33.629999999999995</v>
      </c>
    </row>
    <row r="4" spans="1:2" ht="19.5" customHeight="1" x14ac:dyDescent="0.2">
      <c r="A4" s="55">
        <v>2</v>
      </c>
      <c r="B4" s="54">
        <v>43.13</v>
      </c>
    </row>
    <row r="5" spans="1:2" ht="19.5" customHeight="1" x14ac:dyDescent="0.2">
      <c r="A5" s="55">
        <v>3</v>
      </c>
      <c r="B5" s="54">
        <v>48.68</v>
      </c>
    </row>
    <row r="6" spans="1:2" ht="19.5" customHeight="1" x14ac:dyDescent="0.2">
      <c r="A6" s="55">
        <v>4</v>
      </c>
      <c r="B6" s="54">
        <v>52.62</v>
      </c>
    </row>
    <row r="7" spans="1:2" ht="19.5" customHeight="1" x14ac:dyDescent="0.2">
      <c r="A7" s="55">
        <v>5</v>
      </c>
      <c r="B7" s="54">
        <v>55.679999999999993</v>
      </c>
    </row>
    <row r="8" spans="1:2" ht="19.5" customHeight="1" x14ac:dyDescent="0.2">
      <c r="A8" s="55">
        <v>6</v>
      </c>
      <c r="B8" s="54">
        <v>58.18</v>
      </c>
    </row>
    <row r="9" spans="1:2" ht="19.5" customHeight="1" x14ac:dyDescent="0.2">
      <c r="A9" s="55">
        <v>7</v>
      </c>
      <c r="B9" s="54">
        <v>60.29</v>
      </c>
    </row>
    <row r="10" spans="1:2" ht="19.5" customHeight="1" x14ac:dyDescent="0.2">
      <c r="A10" s="55">
        <v>8</v>
      </c>
      <c r="B10" s="54">
        <v>62.12</v>
      </c>
    </row>
    <row r="11" spans="1:2" ht="19.5" customHeight="1" x14ac:dyDescent="0.2">
      <c r="A11" s="55">
        <v>9</v>
      </c>
      <c r="B11" s="54">
        <v>63.73</v>
      </c>
    </row>
    <row r="12" spans="1:2" ht="19.5" customHeight="1" x14ac:dyDescent="0.2">
      <c r="A12" s="55">
        <v>10</v>
      </c>
      <c r="B12" s="54">
        <v>65.180000000000007</v>
      </c>
    </row>
    <row r="13" spans="1:2" ht="19.5" customHeight="1" x14ac:dyDescent="0.2">
      <c r="A13" s="55">
        <v>11</v>
      </c>
      <c r="B13" s="54">
        <v>66.47999999999999</v>
      </c>
    </row>
    <row r="14" spans="1:2" ht="19.5" customHeight="1" x14ac:dyDescent="0.2">
      <c r="A14" s="55">
        <v>12</v>
      </c>
      <c r="B14" s="54">
        <v>67.67</v>
      </c>
    </row>
    <row r="15" spans="1:2" ht="19.5" customHeight="1" x14ac:dyDescent="0.2">
      <c r="A15" s="55">
        <v>13</v>
      </c>
      <c r="B15" s="54">
        <v>68.77</v>
      </c>
    </row>
    <row r="16" spans="1:2" ht="19.5" customHeight="1" x14ac:dyDescent="0.2">
      <c r="A16" s="55">
        <v>14</v>
      </c>
      <c r="B16" s="54">
        <v>69.789999999999992</v>
      </c>
    </row>
    <row r="17" spans="1:2" ht="19.5" customHeight="1" thickBot="1" x14ac:dyDescent="0.25">
      <c r="A17" s="56">
        <v>15</v>
      </c>
      <c r="B17" s="57">
        <v>70.73</v>
      </c>
    </row>
  </sheetData>
  <mergeCells count="1">
    <mergeCell ref="A1:B1"/>
  </mergeCells>
  <pageMargins left="0.90551181102362199" right="0.51181102362204722" top="0.74803149606299213" bottom="0.74803149606299213" header="0.31496062992125984" footer="0.31496062992125984"/>
  <pageSetup paperSize="9" orientation="portrait" verticalDpi="597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7"/>
  <sheetViews>
    <sheetView workbookViewId="0">
      <selection activeCell="A24" sqref="A24"/>
    </sheetView>
  </sheetViews>
  <sheetFormatPr defaultColWidth="9.140625" defaultRowHeight="12.75" x14ac:dyDescent="0.2"/>
  <cols>
    <col min="1" max="1" width="70.42578125" style="1" customWidth="1"/>
    <col min="2" max="3" width="9.140625" style="1"/>
    <col min="4" max="4" width="12.85546875" style="1" bestFit="1" customWidth="1"/>
    <col min="5" max="16384" width="9.140625" style="1"/>
  </cols>
  <sheetData>
    <row r="1" spans="1:1" ht="18" x14ac:dyDescent="0.25">
      <c r="A1" s="133" t="s">
        <v>253</v>
      </c>
    </row>
    <row r="2" spans="1:1" x14ac:dyDescent="0.2">
      <c r="A2" s="130"/>
    </row>
    <row r="3" spans="1:1" x14ac:dyDescent="0.2">
      <c r="A3" s="130" t="s">
        <v>269</v>
      </c>
    </row>
    <row r="4" spans="1:1" x14ac:dyDescent="0.2">
      <c r="A4" s="130"/>
    </row>
    <row r="5" spans="1:1" x14ac:dyDescent="0.2">
      <c r="A5" s="130"/>
    </row>
    <row r="6" spans="1:1" x14ac:dyDescent="0.2">
      <c r="A6" s="130"/>
    </row>
    <row r="7" spans="1:1" x14ac:dyDescent="0.2">
      <c r="A7" s="130"/>
    </row>
    <row r="8" spans="1:1" x14ac:dyDescent="0.2">
      <c r="A8" s="130"/>
    </row>
    <row r="9" spans="1:1" x14ac:dyDescent="0.2">
      <c r="A9" s="130"/>
    </row>
    <row r="10" spans="1:1" x14ac:dyDescent="0.2">
      <c r="A10" s="130"/>
    </row>
    <row r="11" spans="1:1" x14ac:dyDescent="0.2">
      <c r="A11" s="130"/>
    </row>
    <row r="12" spans="1:1" ht="19.5" x14ac:dyDescent="0.35">
      <c r="A12" s="131" t="s">
        <v>250</v>
      </c>
    </row>
    <row r="13" spans="1:1" ht="15" x14ac:dyDescent="0.2">
      <c r="A13" s="131" t="s">
        <v>114</v>
      </c>
    </row>
    <row r="14" spans="1:1" ht="15" x14ac:dyDescent="0.2">
      <c r="A14" s="131" t="s">
        <v>119</v>
      </c>
    </row>
    <row r="15" spans="1:1" ht="19.5" x14ac:dyDescent="0.35">
      <c r="A15" s="131" t="s">
        <v>251</v>
      </c>
    </row>
    <row r="16" spans="1:1" ht="19.5" x14ac:dyDescent="0.35">
      <c r="A16" s="131" t="s">
        <v>252</v>
      </c>
    </row>
    <row r="17" spans="1:1" ht="15.75" thickBot="1" x14ac:dyDescent="0.25">
      <c r="A17" s="132" t="s">
        <v>115</v>
      </c>
    </row>
  </sheetData>
  <pageMargins left="0.90551181102362199" right="0.51181102362204722" top="0.74803149606299213" bottom="0.74803149606299213" header="0.31496062992125984" footer="0.31496062992125984"/>
  <pageSetup paperSize="9" orientation="portrait" verticalDpi="597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21"/>
  <sheetViews>
    <sheetView topLeftCell="A5" zoomScale="140" zoomScaleNormal="140" workbookViewId="0">
      <selection activeCell="A5" sqref="A5"/>
    </sheetView>
  </sheetViews>
  <sheetFormatPr defaultColWidth="9.140625" defaultRowHeight="12.75" x14ac:dyDescent="0.2"/>
  <cols>
    <col min="1" max="1" width="58.28515625" style="141" customWidth="1"/>
    <col min="2" max="2" width="11.140625" style="141" bestFit="1" customWidth="1"/>
    <col min="3" max="3" width="11.28515625" style="141" bestFit="1" customWidth="1"/>
    <col min="4" max="16384" width="9.140625" style="141"/>
  </cols>
  <sheetData>
    <row r="1" spans="1:3" x14ac:dyDescent="0.2">
      <c r="A1" s="9" t="s">
        <v>211</v>
      </c>
    </row>
    <row r="2" spans="1:3" x14ac:dyDescent="0.2">
      <c r="A2" s="146" t="s">
        <v>281</v>
      </c>
    </row>
    <row r="3" spans="1:3" x14ac:dyDescent="0.2">
      <c r="A3" s="146" t="s">
        <v>307</v>
      </c>
    </row>
    <row r="4" spans="1:3" x14ac:dyDescent="0.2">
      <c r="A4" s="5" t="s">
        <v>305</v>
      </c>
    </row>
    <row r="5" spans="1:3" ht="13.5" thickBot="1" x14ac:dyDescent="0.25"/>
    <row r="6" spans="1:3" ht="18" x14ac:dyDescent="0.25">
      <c r="A6" s="339" t="s">
        <v>301</v>
      </c>
      <c r="B6" s="340"/>
      <c r="C6" s="341"/>
    </row>
    <row r="7" spans="1:3" ht="18" x14ac:dyDescent="0.25">
      <c r="A7" s="159"/>
      <c r="B7" s="158"/>
      <c r="C7" s="160"/>
    </row>
    <row r="8" spans="1:3" s="32" customFormat="1" ht="15" x14ac:dyDescent="0.25">
      <c r="A8" s="147" t="s">
        <v>302</v>
      </c>
      <c r="B8" s="148" t="s">
        <v>282</v>
      </c>
      <c r="C8" s="149" t="s">
        <v>150</v>
      </c>
    </row>
    <row r="9" spans="1:3" ht="14.25" x14ac:dyDescent="0.2">
      <c r="A9" s="87" t="s">
        <v>290</v>
      </c>
      <c r="B9" s="150" t="s">
        <v>283</v>
      </c>
      <c r="C9" s="88">
        <v>20168</v>
      </c>
    </row>
    <row r="10" spans="1:3" ht="14.25" x14ac:dyDescent="0.2">
      <c r="A10" s="87" t="s">
        <v>291</v>
      </c>
      <c r="B10" s="150" t="s">
        <v>288</v>
      </c>
      <c r="C10" s="151">
        <f>0.0362741*C9^0.2336249</f>
        <v>0.36751330785254366</v>
      </c>
    </row>
    <row r="11" spans="1:3" ht="14.25" x14ac:dyDescent="0.2">
      <c r="A11" s="87" t="s">
        <v>292</v>
      </c>
      <c r="B11" s="150" t="s">
        <v>289</v>
      </c>
      <c r="C11" s="152">
        <f>C9*C10/1000</f>
        <v>7.412008392770101</v>
      </c>
    </row>
    <row r="12" spans="1:3" ht="14.25" x14ac:dyDescent="0.2">
      <c r="A12" s="87" t="s">
        <v>298</v>
      </c>
      <c r="B12" s="150" t="s">
        <v>284</v>
      </c>
      <c r="C12" s="153">
        <f>(C11*30)</f>
        <v>222.36025178310302</v>
      </c>
    </row>
    <row r="13" spans="1:3" ht="14.25" x14ac:dyDescent="0.2">
      <c r="A13" s="87" t="s">
        <v>294</v>
      </c>
      <c r="B13" s="150" t="s">
        <v>96</v>
      </c>
      <c r="C13" s="156">
        <v>6</v>
      </c>
    </row>
    <row r="14" spans="1:3" ht="14.25" x14ac:dyDescent="0.2">
      <c r="A14" s="87" t="s">
        <v>293</v>
      </c>
      <c r="B14" s="150" t="s">
        <v>289</v>
      </c>
      <c r="C14" s="152">
        <f>IFERROR(C11*7/C13,0)</f>
        <v>8.64734312489845</v>
      </c>
    </row>
    <row r="15" spans="1:3" ht="14.25" x14ac:dyDescent="0.2">
      <c r="A15" s="87" t="s">
        <v>285</v>
      </c>
      <c r="B15" s="150" t="s">
        <v>286</v>
      </c>
      <c r="C15" s="111">
        <v>500</v>
      </c>
    </row>
    <row r="16" spans="1:3" ht="14.25" x14ac:dyDescent="0.2">
      <c r="A16" s="87" t="s">
        <v>299</v>
      </c>
      <c r="B16" s="150"/>
      <c r="C16" s="88">
        <v>1</v>
      </c>
    </row>
    <row r="17" spans="1:3" ht="14.25" x14ac:dyDescent="0.2">
      <c r="A17" s="87" t="s">
        <v>300</v>
      </c>
      <c r="B17" s="150" t="s">
        <v>287</v>
      </c>
      <c r="C17" s="88">
        <v>19</v>
      </c>
    </row>
    <row r="18" spans="1:3" ht="14.25" x14ac:dyDescent="0.2">
      <c r="A18" s="87" t="s">
        <v>295</v>
      </c>
      <c r="B18" s="150" t="s">
        <v>284</v>
      </c>
      <c r="C18" s="111">
        <v>9.5</v>
      </c>
    </row>
    <row r="19" spans="1:3" ht="14.25" x14ac:dyDescent="0.2">
      <c r="A19" s="87" t="s">
        <v>296</v>
      </c>
      <c r="B19" s="150"/>
      <c r="C19" s="152">
        <f>IFERROR(C14/C18,0)</f>
        <v>0.91024664472615269</v>
      </c>
    </row>
    <row r="20" spans="1:3" ht="14.25" x14ac:dyDescent="0.2">
      <c r="A20" s="87" t="s">
        <v>303</v>
      </c>
      <c r="B20" s="150"/>
      <c r="C20" s="162">
        <v>2</v>
      </c>
    </row>
    <row r="21" spans="1:3" ht="15" thickBot="1" x14ac:dyDescent="0.25">
      <c r="A21" s="154" t="s">
        <v>297</v>
      </c>
      <c r="B21" s="155"/>
      <c r="C21" s="157">
        <f>IFERROR(C19/C20,0)</f>
        <v>0.45512332236307634</v>
      </c>
    </row>
  </sheetData>
  <mergeCells count="1">
    <mergeCell ref="A6:C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5</vt:i4>
      </vt:variant>
    </vt:vector>
  </HeadingPairs>
  <TitlesOfParts>
    <vt:vector size="12" baseType="lpstr">
      <vt:lpstr>1. Coleta lixo umido</vt:lpstr>
      <vt:lpstr>2.Encargos Sociais</vt:lpstr>
      <vt:lpstr>3.CAGED</vt:lpstr>
      <vt:lpstr>4.BDI</vt:lpstr>
      <vt:lpstr>5. Depreciação</vt:lpstr>
      <vt:lpstr>6.Remuneração de capital</vt:lpstr>
      <vt:lpstr>7. Dimensionamento</vt:lpstr>
      <vt:lpstr>AbaDeprec</vt:lpstr>
      <vt:lpstr>AbaRemun</vt:lpstr>
      <vt:lpstr>'1. Coleta lixo umido'!Area_de_impressao</vt:lpstr>
      <vt:lpstr>'2.Encargos Sociais'!Area_de_impressao</vt:lpstr>
      <vt:lpstr>'1. Coleta lixo umido'!Titulos_de_impressao</vt:lpstr>
    </vt:vector>
  </TitlesOfParts>
  <Company>dmlu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de Custos Coleta e Transporte RSU</dc:title>
  <dc:creator>Flavia Burmeister Martins</dc:creator>
  <cp:lastModifiedBy>Usuario</cp:lastModifiedBy>
  <cp:lastPrinted>2022-12-12T17:06:15Z</cp:lastPrinted>
  <dcterms:created xsi:type="dcterms:W3CDTF">2000-12-13T10:02:50Z</dcterms:created>
  <dcterms:modified xsi:type="dcterms:W3CDTF">2023-07-04T10:51:04Z</dcterms:modified>
</cp:coreProperties>
</file>